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PLANEACION03\Desktop\"/>
    </mc:Choice>
  </mc:AlternateContent>
  <bookViews>
    <workbookView xWindow="0" yWindow="0" windowWidth="24000" windowHeight="9435" firstSheet="1" activeTab="1"/>
  </bookViews>
  <sheets>
    <sheet name="F-PLA-06 PA ADMINISTRATIVA" sheetId="3" r:id="rId1"/>
    <sheet name="F-PLA-06 PA PLANEACION" sheetId="1" r:id="rId2"/>
    <sheet name="F-PLA-06 PA HACIENDA" sheetId="13" r:id="rId3"/>
    <sheet name="F-PLA-06 PA AGUAS INFRA" sheetId="12" r:id="rId4"/>
    <sheet name="F-PLA-06 PA INTERIOR" sheetId="14" r:id="rId5"/>
    <sheet name="F-PLA-06 PA CULTURA" sheetId="10" r:id="rId6"/>
    <sheet name="F-PLA-06 PA TURISMO" sheetId="8" r:id="rId7"/>
    <sheet name="F-PLA-06 PA AGRICULTURA" sheetId="4" r:id="rId8"/>
    <sheet name="F-PLA-06 PA EDUCACION" sheetId="16" r:id="rId9"/>
    <sheet name="F-PLA-06 PA PRIVADA" sheetId="11" r:id="rId10"/>
    <sheet name="F-PLA 06 PA FAMILIA" sheetId="7" r:id="rId11"/>
    <sheet name="F-PLA-06 PA SALUD" sheetId="17" r:id="rId12"/>
    <sheet name="F-PLA-06 PA TIC" sheetId="2" r:id="rId13"/>
    <sheet name=" F-PLA 06 PA INDEPORTES" sheetId="9" r:id="rId14"/>
    <sheet name="F-PLA-06 PA PROMOTORA" sheetId="5" r:id="rId15"/>
    <sheet name="F-PLA-06 PA IDTQ" sheetId="6" r:id="rId16"/>
  </sheets>
  <externalReferences>
    <externalReference r:id="rId17"/>
    <externalReference r:id="rId18"/>
  </externalReferences>
  <definedNames>
    <definedName name="_1._Apoyo_con_equipos_para_la_seguridad_vial_Licenciamiento_de_software_para_comunicaciones" localSheetId="13">#REF!</definedName>
    <definedName name="_1._Apoyo_con_equipos_para_la_seguridad_vial_Licenciamiento_de_software_para_comunicaciones" localSheetId="10">#REF!</definedName>
    <definedName name="_1._Apoyo_con_equipos_para_la_seguridad_vial_Licenciamiento_de_software_para_comunicaciones" localSheetId="0">#REF!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8">#REF!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9">#REF!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13" hidden="1">' F-PLA 06 PA INDEPORTES'!$V$1:$V$77</definedName>
    <definedName name="_xlnm._FilterDatabase" localSheetId="10" hidden="1">'F-PLA 06 PA FAMILIA'!$U$1:$U$199</definedName>
    <definedName name="_xlnm._FilterDatabase" localSheetId="7" hidden="1">'F-PLA-06 PA AGRICULTURA'!$U$1:$U$102</definedName>
    <definedName name="_xlnm._FilterDatabase" localSheetId="3" hidden="1">'F-PLA-06 PA AGUAS INFRA'!$U$1:$U$118</definedName>
    <definedName name="_xlnm._FilterDatabase" localSheetId="4" hidden="1">'F-PLA-06 PA INTERIOR'!$J$7:$AO$174</definedName>
    <definedName name="_xlnm._FilterDatabase" localSheetId="1" hidden="1">'F-PLA-06 PA PLANEACION'!$U$1:$U$114</definedName>
    <definedName name="_xlnm._FilterDatabase" localSheetId="9" hidden="1">'F-PLA-06 PA PRIVADA'!$U$1:$U$34</definedName>
    <definedName name="_xlnm._FilterDatabase" localSheetId="6" hidden="1">'F-PLA-06 PA TURISMO'!$U$1:$U$56</definedName>
    <definedName name="aa" localSheetId="13">#REF!</definedName>
    <definedName name="aa" localSheetId="10">#REF!</definedName>
    <definedName name="aa" localSheetId="3">#REF!</definedName>
    <definedName name="aa" localSheetId="8">#REF!</definedName>
    <definedName name="aa" localSheetId="4">#REF!</definedName>
    <definedName name="aa" localSheetId="11">#REF!</definedName>
    <definedName name="aa">#REF!</definedName>
    <definedName name="_xlnm.Print_Area" localSheetId="1">'F-PLA-06 PA PLANEACION'!$A$1:$AO$74</definedName>
    <definedName name="CODIGO_DIVIPOLA" localSheetId="13">#REF!</definedName>
    <definedName name="CODIGO_DIVIPOLA" localSheetId="10">#REF!</definedName>
    <definedName name="CODIGO_DIVIPOLA" localSheetId="0">#REF!</definedName>
    <definedName name="CODIGO_DIVIPOLA" localSheetId="3">#REF!</definedName>
    <definedName name="CODIGO_DIVIPOLA" localSheetId="5">#REF!</definedName>
    <definedName name="CODIGO_DIVIPOLA" localSheetId="8">#REF!</definedName>
    <definedName name="CODIGO_DIVIPOLA" localSheetId="4">#REF!</definedName>
    <definedName name="CODIGO_DIVIPOLA" localSheetId="9">#REF!</definedName>
    <definedName name="CODIGO_DIVIPOLA" localSheetId="14">#REF!</definedName>
    <definedName name="CODIGO_DIVIPOLA" localSheetId="11">#REF!</definedName>
    <definedName name="CODIGO_DIVIPOLA" localSheetId="12">#REF!</definedName>
    <definedName name="CODIGO_DIVIPOLA" localSheetId="6">#REF!</definedName>
    <definedName name="CODIGO_DIVIPOLA">#REF!</definedName>
    <definedName name="DboREGISTRO_LEY_617" localSheetId="13">#REF!</definedName>
    <definedName name="DboREGISTRO_LEY_617" localSheetId="10">#REF!</definedName>
    <definedName name="DboREGISTRO_LEY_617" localSheetId="0">#REF!</definedName>
    <definedName name="DboREGISTRO_LEY_617" localSheetId="3">#REF!</definedName>
    <definedName name="DboREGISTRO_LEY_617" localSheetId="5">#REF!</definedName>
    <definedName name="DboREGISTRO_LEY_617" localSheetId="8">#REF!</definedName>
    <definedName name="DboREGISTRO_LEY_617" localSheetId="4">#REF!</definedName>
    <definedName name="DboREGISTRO_LEY_617" localSheetId="9">#REF!</definedName>
    <definedName name="DboREGISTRO_LEY_617" localSheetId="14">#REF!</definedName>
    <definedName name="DboREGISTRO_LEY_617" localSheetId="11">#REF!</definedName>
    <definedName name="DboREGISTRO_LEY_617" localSheetId="12">#REF!</definedName>
    <definedName name="DboREGISTRO_LEY_617" localSheetId="6">#REF!</definedName>
    <definedName name="DboREGISTRO_LEY_617">#REF!</definedName>
    <definedName name="ññ" localSheetId="13">#REF!</definedName>
    <definedName name="ññ" localSheetId="10">#REF!</definedName>
    <definedName name="ññ" localSheetId="0">#REF!</definedName>
    <definedName name="ññ" localSheetId="3">#REF!</definedName>
    <definedName name="ññ" localSheetId="5">#REF!</definedName>
    <definedName name="ññ" localSheetId="8">#REF!</definedName>
    <definedName name="ññ" localSheetId="4">#REF!</definedName>
    <definedName name="ññ" localSheetId="9">#REF!</definedName>
    <definedName name="ññ" localSheetId="14">#REF!</definedName>
    <definedName name="ññ" localSheetId="11">#REF!</definedName>
    <definedName name="ññ" localSheetId="12">#REF!</definedName>
    <definedName name="ññ" localSheetId="6">#REF!</definedName>
    <definedName name="ññ">#REF!</definedName>
    <definedName name="_xlnm.Print_Titles" localSheetId="1">'F-PLA-06 PA PLANEACION'!$1:$8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28" i="17" l="1"/>
  <c r="AB321" i="17"/>
  <c r="P321" i="17"/>
  <c r="T308" i="17"/>
  <c r="T306" i="17"/>
  <c r="AB304" i="17"/>
  <c r="T304" i="17"/>
  <c r="P304" i="17" s="1"/>
  <c r="AB298" i="17"/>
  <c r="P298" i="17"/>
  <c r="O299" i="17" s="1"/>
  <c r="O298" i="17"/>
  <c r="T296" i="17"/>
  <c r="AB289" i="17"/>
  <c r="P289" i="17"/>
  <c r="O289" i="17"/>
  <c r="AB279" i="17"/>
  <c r="T279" i="17"/>
  <c r="P279" i="17" s="1"/>
  <c r="O279" i="17" s="1"/>
  <c r="AB276" i="17"/>
  <c r="P276" i="17"/>
  <c r="AB264" i="17"/>
  <c r="O264" i="17"/>
  <c r="AB262" i="17"/>
  <c r="P262" i="17"/>
  <c r="O262" i="17" s="1"/>
  <c r="AM254" i="17"/>
  <c r="AB254" i="17"/>
  <c r="P254" i="17"/>
  <c r="O254" i="17" s="1"/>
  <c r="T236" i="17"/>
  <c r="T235" i="17"/>
  <c r="AB234" i="17"/>
  <c r="T234" i="17"/>
  <c r="P234" i="17" s="1"/>
  <c r="T230" i="17"/>
  <c r="T227" i="17"/>
  <c r="T223" i="17"/>
  <c r="T222" i="17"/>
  <c r="T221" i="17"/>
  <c r="T218" i="17"/>
  <c r="T217" i="17"/>
  <c r="AB216" i="17"/>
  <c r="T216" i="17"/>
  <c r="P216" i="17" s="1"/>
  <c r="T207" i="17"/>
  <c r="T206" i="17"/>
  <c r="T203" i="17"/>
  <c r="T202" i="17"/>
  <c r="T201" i="17"/>
  <c r="T200" i="17"/>
  <c r="AB194" i="17"/>
  <c r="P194" i="17"/>
  <c r="O205" i="17" s="1"/>
  <c r="T193" i="17"/>
  <c r="T187" i="17"/>
  <c r="T185" i="17"/>
  <c r="T184" i="17"/>
  <c r="AB183" i="17"/>
  <c r="T183" i="17"/>
  <c r="P183" i="17" s="1"/>
  <c r="O171" i="17"/>
  <c r="AB167" i="17"/>
  <c r="P167" i="17"/>
  <c r="O176" i="17" s="1"/>
  <c r="T161" i="17"/>
  <c r="T160" i="17"/>
  <c r="T156" i="17"/>
  <c r="T153" i="17"/>
  <c r="T152" i="17"/>
  <c r="T151" i="17"/>
  <c r="T150" i="17"/>
  <c r="T149" i="17"/>
  <c r="T148" i="17"/>
  <c r="T147" i="17"/>
  <c r="P144" i="17" s="1"/>
  <c r="T146" i="17"/>
  <c r="AB144" i="17"/>
  <c r="T143" i="17"/>
  <c r="T142" i="17"/>
  <c r="T140" i="17"/>
  <c r="T139" i="17"/>
  <c r="T135" i="17"/>
  <c r="T134" i="17"/>
  <c r="T133" i="17"/>
  <c r="T129" i="17"/>
  <c r="T127" i="17"/>
  <c r="AB126" i="17"/>
  <c r="T126" i="17"/>
  <c r="P126" i="17"/>
  <c r="O129" i="17" s="1"/>
  <c r="P114" i="17"/>
  <c r="T112" i="17"/>
  <c r="T111" i="17"/>
  <c r="T110" i="17"/>
  <c r="T109" i="17"/>
  <c r="AB108" i="17"/>
  <c r="T108" i="17"/>
  <c r="P108" i="17" s="1"/>
  <c r="T106" i="17"/>
  <c r="T102" i="17"/>
  <c r="T100" i="17"/>
  <c r="P95" i="17" s="1"/>
  <c r="T98" i="17"/>
  <c r="AB95" i="17"/>
  <c r="AB89" i="17"/>
  <c r="P89" i="17"/>
  <c r="O89" i="17" s="1"/>
  <c r="T85" i="17"/>
  <c r="T83" i="17"/>
  <c r="T82" i="17"/>
  <c r="T81" i="17"/>
  <c r="T80" i="17"/>
  <c r="T78" i="17"/>
  <c r="AB77" i="17"/>
  <c r="T77" i="17"/>
  <c r="P77" i="17"/>
  <c r="O276" i="17" s="1"/>
  <c r="T71" i="17"/>
  <c r="O71" i="17"/>
  <c r="T69" i="17"/>
  <c r="T67" i="17"/>
  <c r="T66" i="17"/>
  <c r="AB63" i="17"/>
  <c r="T63" i="17"/>
  <c r="P63" i="17"/>
  <c r="O63" i="17" s="1"/>
  <c r="T59" i="17"/>
  <c r="T56" i="17"/>
  <c r="T55" i="17"/>
  <c r="T54" i="17"/>
  <c r="T53" i="17"/>
  <c r="T52" i="17"/>
  <c r="T49" i="17"/>
  <c r="T48" i="17"/>
  <c r="P42" i="17" s="1"/>
  <c r="AB42" i="17"/>
  <c r="T38" i="17"/>
  <c r="T37" i="17"/>
  <c r="T36" i="17"/>
  <c r="T35" i="17"/>
  <c r="T34" i="17"/>
  <c r="T33" i="17"/>
  <c r="T22" i="17"/>
  <c r="T21" i="17"/>
  <c r="T20" i="17"/>
  <c r="T19" i="17"/>
  <c r="T18" i="17"/>
  <c r="P17" i="17" s="1"/>
  <c r="AB17" i="17"/>
  <c r="T15" i="17"/>
  <c r="T14" i="17"/>
  <c r="T13" i="17"/>
  <c r="T12" i="17"/>
  <c r="T329" i="17" s="1"/>
  <c r="P12" i="17"/>
  <c r="O121" i="17" s="1"/>
  <c r="O304" i="17" l="1"/>
  <c r="O309" i="17"/>
  <c r="O308" i="17"/>
  <c r="O95" i="17"/>
  <c r="O105" i="17"/>
  <c r="O97" i="17"/>
  <c r="O98" i="17"/>
  <c r="O157" i="17"/>
  <c r="O144" i="17"/>
  <c r="O235" i="17"/>
  <c r="O234" i="17"/>
  <c r="O183" i="17"/>
  <c r="O188" i="17"/>
  <c r="O23" i="17"/>
  <c r="O34" i="17"/>
  <c r="O17" i="17"/>
  <c r="O35" i="17"/>
  <c r="O27" i="17"/>
  <c r="O20" i="17"/>
  <c r="O39" i="17"/>
  <c r="O49" i="17"/>
  <c r="O42" i="17"/>
  <c r="O111" i="17"/>
  <c r="O110" i="17"/>
  <c r="O108" i="17"/>
  <c r="O216" i="17"/>
  <c r="O225" i="17"/>
  <c r="O75" i="17"/>
  <c r="O199" i="17"/>
  <c r="O12" i="17"/>
  <c r="O77" i="17"/>
  <c r="O126" i="17"/>
  <c r="O127" i="17"/>
  <c r="O131" i="17"/>
  <c r="O136" i="17"/>
  <c r="O142" i="17"/>
  <c r="O194" i="17"/>
  <c r="O114" i="17"/>
  <c r="O139" i="17"/>
  <c r="O263" i="17"/>
  <c r="O167" i="17"/>
  <c r="P329" i="17"/>
  <c r="P70" i="16"/>
  <c r="O70" i="16" s="1"/>
  <c r="AL68" i="16"/>
  <c r="P68" i="16"/>
  <c r="O68" i="16"/>
  <c r="AL66" i="16"/>
  <c r="P66" i="16"/>
  <c r="O66" i="16"/>
  <c r="AL63" i="16"/>
  <c r="P63" i="16"/>
  <c r="AL61" i="16"/>
  <c r="P61" i="16"/>
  <c r="O61" i="16"/>
  <c r="AL58" i="16"/>
  <c r="T58" i="16"/>
  <c r="P58" i="16"/>
  <c r="O58" i="16"/>
  <c r="AL56" i="16"/>
  <c r="T56" i="16"/>
  <c r="P56" i="16"/>
  <c r="O56" i="16"/>
  <c r="AL54" i="16"/>
  <c r="T54" i="16"/>
  <c r="P54" i="16"/>
  <c r="O54" i="16"/>
  <c r="T51" i="16"/>
  <c r="T49" i="16"/>
  <c r="T44" i="16"/>
  <c r="T42" i="16"/>
  <c r="AL39" i="16"/>
  <c r="T39" i="16"/>
  <c r="P39" i="16"/>
  <c r="O43" i="16" s="1"/>
  <c r="AL34" i="16"/>
  <c r="P34" i="16"/>
  <c r="O34" i="16"/>
  <c r="T33" i="16"/>
  <c r="T32" i="16"/>
  <c r="T31" i="16"/>
  <c r="P30" i="16" s="1"/>
  <c r="O30" i="16" s="1"/>
  <c r="AL30" i="16"/>
  <c r="T30" i="16"/>
  <c r="O29" i="16"/>
  <c r="AL28" i="16"/>
  <c r="T28" i="16"/>
  <c r="P28" i="16"/>
  <c r="O28" i="16"/>
  <c r="T23" i="16"/>
  <c r="T73" i="16" s="1"/>
  <c r="AL12" i="16"/>
  <c r="P12" i="16"/>
  <c r="P73" i="16" s="1"/>
  <c r="O42" i="16" l="1"/>
  <c r="O16" i="16"/>
  <c r="O12" i="16"/>
  <c r="O39" i="16"/>
  <c r="O41" i="16"/>
  <c r="O44" i="16"/>
  <c r="O49" i="16"/>
  <c r="AL168" i="14" l="1"/>
  <c r="P168" i="14"/>
  <c r="O168" i="14"/>
  <c r="AL161" i="14"/>
  <c r="P161" i="14"/>
  <c r="O167" i="14" s="1"/>
  <c r="O161" i="14"/>
  <c r="T157" i="14"/>
  <c r="T153" i="14"/>
  <c r="AL145" i="14"/>
  <c r="P145" i="14"/>
  <c r="O156" i="14" s="1"/>
  <c r="T142" i="14"/>
  <c r="AL140" i="14"/>
  <c r="T140" i="14"/>
  <c r="P140" i="14" s="1"/>
  <c r="O140" i="14" s="1"/>
  <c r="T139" i="14"/>
  <c r="T138" i="14"/>
  <c r="T137" i="14"/>
  <c r="T136" i="14"/>
  <c r="T135" i="14"/>
  <c r="T131" i="14"/>
  <c r="T129" i="14"/>
  <c r="T127" i="14"/>
  <c r="T126" i="14"/>
  <c r="T125" i="14"/>
  <c r="AL124" i="14"/>
  <c r="T121" i="14"/>
  <c r="AL119" i="14"/>
  <c r="T119" i="14"/>
  <c r="P119" i="14" s="1"/>
  <c r="AL116" i="14"/>
  <c r="T116" i="14"/>
  <c r="P116" i="14"/>
  <c r="AL110" i="14"/>
  <c r="P110" i="14"/>
  <c r="O110" i="14" s="1"/>
  <c r="T108" i="14"/>
  <c r="T104" i="14"/>
  <c r="T101" i="14"/>
  <c r="AL98" i="14"/>
  <c r="T87" i="14"/>
  <c r="T86" i="14"/>
  <c r="AL82" i="14"/>
  <c r="AL78" i="14"/>
  <c r="P78" i="14"/>
  <c r="T53" i="14"/>
  <c r="T38" i="14"/>
  <c r="T36" i="14"/>
  <c r="T34" i="14"/>
  <c r="T174" i="14" s="1"/>
  <c r="AL31" i="14"/>
  <c r="AL27" i="14"/>
  <c r="P27" i="14"/>
  <c r="O27" i="14" s="1"/>
  <c r="AL22" i="14"/>
  <c r="P22" i="14"/>
  <c r="AL19" i="14"/>
  <c r="P19" i="14"/>
  <c r="AL11" i="14"/>
  <c r="P11" i="14"/>
  <c r="O11" i="14" s="1"/>
  <c r="P82" i="14" l="1"/>
  <c r="O119" i="14"/>
  <c r="O116" i="14"/>
  <c r="P31" i="14"/>
  <c r="O57" i="14" s="1"/>
  <c r="P98" i="14"/>
  <c r="O78" i="14" s="1"/>
  <c r="O145" i="14"/>
  <c r="O19" i="14"/>
  <c r="O22" i="14"/>
  <c r="O52" i="14"/>
  <c r="O68" i="14"/>
  <c r="O82" i="14"/>
  <c r="P174" i="14"/>
  <c r="O98" i="14"/>
  <c r="O31" i="14"/>
  <c r="T20" i="13"/>
  <c r="AL17" i="13"/>
  <c r="P17" i="13"/>
  <c r="O17" i="13"/>
  <c r="AL11" i="13"/>
  <c r="P11" i="13"/>
  <c r="P20" i="13" s="1"/>
  <c r="O11" i="13"/>
  <c r="O65" i="14" l="1"/>
  <c r="AL110" i="12"/>
  <c r="P110" i="12"/>
  <c r="AL107" i="12"/>
  <c r="P107" i="12"/>
  <c r="P97" i="12"/>
  <c r="O104" i="12" s="1"/>
  <c r="T95" i="12"/>
  <c r="T93" i="12"/>
  <c r="AL92" i="12"/>
  <c r="T92" i="12"/>
  <c r="P92" i="12"/>
  <c r="AL90" i="12"/>
  <c r="P90" i="12"/>
  <c r="P88" i="12"/>
  <c r="AL85" i="12"/>
  <c r="AL65" i="12"/>
  <c r="P65" i="12"/>
  <c r="O65" i="12" s="1"/>
  <c r="P62" i="12"/>
  <c r="P60" i="12"/>
  <c r="T57" i="12"/>
  <c r="T56" i="12"/>
  <c r="T54" i="12"/>
  <c r="T53" i="12"/>
  <c r="T52" i="12"/>
  <c r="AL51" i="12"/>
  <c r="T51" i="12"/>
  <c r="P51" i="12" s="1"/>
  <c r="T38" i="12"/>
  <c r="P37" i="12" s="1"/>
  <c r="AL37" i="12"/>
  <c r="AL33" i="12"/>
  <c r="P33" i="12"/>
  <c r="T26" i="12"/>
  <c r="T113" i="12" s="1"/>
  <c r="AL16" i="12"/>
  <c r="P16" i="12"/>
  <c r="P14" i="12"/>
  <c r="O14" i="12" s="1"/>
  <c r="P12" i="12"/>
  <c r="O12" i="12" s="1"/>
  <c r="O88" i="12" l="1"/>
  <c r="O90" i="12"/>
  <c r="O37" i="12"/>
  <c r="O99" i="12"/>
  <c r="O62" i="12"/>
  <c r="O100" i="12"/>
  <c r="O16" i="12"/>
  <c r="O92" i="12"/>
  <c r="O107" i="12"/>
  <c r="O110" i="12"/>
  <c r="O33" i="12"/>
  <c r="O51" i="12"/>
  <c r="O97" i="12"/>
  <c r="O103" i="12"/>
  <c r="P113" i="12"/>
  <c r="O60" i="12"/>
  <c r="O23" i="11" l="1"/>
  <c r="T20" i="11"/>
  <c r="T18" i="11"/>
  <c r="T17" i="11"/>
  <c r="T24" i="11" s="1"/>
  <c r="P17" i="11"/>
  <c r="O17" i="11" s="1"/>
  <c r="P11" i="11"/>
  <c r="P24" i="11" s="1"/>
  <c r="T41" i="10"/>
  <c r="T38" i="10"/>
  <c r="T37" i="10"/>
  <c r="P37" i="10" s="1"/>
  <c r="P33" i="10"/>
  <c r="O33" i="10"/>
  <c r="AL32" i="10"/>
  <c r="P32" i="10"/>
  <c r="O32" i="10"/>
  <c r="AL27" i="10"/>
  <c r="T27" i="10"/>
  <c r="P27" i="10"/>
  <c r="O30" i="10" s="1"/>
  <c r="T22" i="10"/>
  <c r="T20" i="10"/>
  <c r="T19" i="10"/>
  <c r="T18" i="10"/>
  <c r="T17" i="10"/>
  <c r="T14" i="10"/>
  <c r="T44" i="10" s="1"/>
  <c r="P11" i="10"/>
  <c r="O11" i="10" s="1"/>
  <c r="O11" i="11" l="1"/>
  <c r="O40" i="10"/>
  <c r="O37" i="10"/>
  <c r="O27" i="10"/>
  <c r="O16" i="10"/>
  <c r="P44" i="10"/>
  <c r="U70" i="9"/>
  <c r="P69" i="9"/>
  <c r="Q65" i="9"/>
  <c r="P65" i="9"/>
  <c r="AM59" i="9"/>
  <c r="Q59" i="9"/>
  <c r="P59" i="9"/>
  <c r="P56" i="9"/>
  <c r="P52" i="9"/>
  <c r="P49" i="9"/>
  <c r="Q35" i="9"/>
  <c r="P35" i="9"/>
  <c r="AM30" i="9"/>
  <c r="Q30" i="9"/>
  <c r="P30" i="9"/>
  <c r="P29" i="9"/>
  <c r="AM28" i="9"/>
  <c r="Q28" i="9"/>
  <c r="P28" i="9"/>
  <c r="P25" i="9"/>
  <c r="Q21" i="9"/>
  <c r="P21" i="9"/>
  <c r="Q18" i="9"/>
  <c r="P18" i="9"/>
  <c r="P15" i="9"/>
  <c r="Q12" i="9"/>
  <c r="P12" i="9"/>
  <c r="T42" i="8"/>
  <c r="AL36" i="8"/>
  <c r="P36" i="8"/>
  <c r="O36" i="8" s="1"/>
  <c r="T31" i="8"/>
  <c r="AL27" i="8"/>
  <c r="P27" i="8"/>
  <c r="O27" i="8" s="1"/>
  <c r="T25" i="8"/>
  <c r="T23" i="8"/>
  <c r="T22" i="8"/>
  <c r="AL20" i="8"/>
  <c r="T20" i="8"/>
  <c r="P20" i="8" s="1"/>
  <c r="T18" i="8"/>
  <c r="T46" i="8" s="1"/>
  <c r="AL16" i="8"/>
  <c r="P16" i="8"/>
  <c r="O19" i="8" s="1"/>
  <c r="AL11" i="8"/>
  <c r="P11" i="8"/>
  <c r="O13" i="8" s="1"/>
  <c r="T194" i="7"/>
  <c r="O193" i="7"/>
  <c r="O187" i="7"/>
  <c r="O179" i="7"/>
  <c r="O93" i="7"/>
  <c r="O91" i="7"/>
  <c r="O75" i="7"/>
  <c r="O72" i="7"/>
  <c r="P21" i="7"/>
  <c r="O86" i="7" s="1"/>
  <c r="O21" i="7"/>
  <c r="P11" i="7"/>
  <c r="P194" i="7" s="1"/>
  <c r="Q70" i="9" l="1"/>
  <c r="O11" i="8"/>
  <c r="O41" i="8"/>
  <c r="O16" i="8"/>
  <c r="O20" i="8"/>
  <c r="O24" i="8"/>
  <c r="O26" i="8"/>
  <c r="O44" i="8"/>
  <c r="O39" i="8"/>
  <c r="P46" i="8"/>
  <c r="P199" i="7"/>
  <c r="O61" i="7"/>
  <c r="T26" i="5"/>
  <c r="P26" i="5"/>
  <c r="T23" i="5"/>
  <c r="P23" i="5" s="1"/>
  <c r="T22" i="5"/>
  <c r="P22" i="5"/>
  <c r="T21" i="5"/>
  <c r="P21" i="5" s="1"/>
  <c r="T20" i="5"/>
  <c r="P20" i="5" s="1"/>
  <c r="T18" i="5"/>
  <c r="P18" i="5" s="1"/>
  <c r="T15" i="5"/>
  <c r="P15" i="5"/>
  <c r="T14" i="5"/>
  <c r="P14" i="5" s="1"/>
  <c r="AL12" i="5"/>
  <c r="T12" i="5"/>
  <c r="P12" i="5"/>
  <c r="P27" i="5" l="1"/>
  <c r="T27" i="5"/>
  <c r="T89" i="4"/>
  <c r="P89" i="4"/>
  <c r="O88" i="4"/>
  <c r="O84" i="4"/>
  <c r="O81" i="4"/>
  <c r="O77" i="4"/>
  <c r="O75" i="4"/>
  <c r="O70" i="4"/>
  <c r="O68" i="4"/>
  <c r="O62" i="4"/>
  <c r="O59" i="4"/>
  <c r="O56" i="4"/>
  <c r="O53" i="4"/>
  <c r="O50" i="4"/>
  <c r="O49" i="4"/>
  <c r="O47" i="4"/>
  <c r="O46" i="4"/>
  <c r="O42" i="4"/>
  <c r="O38" i="4"/>
  <c r="O36" i="4"/>
  <c r="O35" i="4"/>
  <c r="O33" i="4"/>
  <c r="O30" i="4"/>
  <c r="O29" i="4"/>
  <c r="O28" i="4"/>
  <c r="O27" i="4"/>
  <c r="O26" i="4"/>
  <c r="O25" i="4"/>
  <c r="O22" i="4"/>
  <c r="O19" i="4"/>
  <c r="T19" i="3" l="1"/>
  <c r="P18" i="3"/>
  <c r="O18" i="3"/>
  <c r="AL14" i="3"/>
  <c r="P14" i="3"/>
  <c r="P19" i="3" s="1"/>
  <c r="O14" i="3"/>
  <c r="AL11" i="3"/>
  <c r="P11" i="3"/>
  <c r="O11" i="3"/>
  <c r="AL27" i="2" l="1"/>
  <c r="P27" i="2"/>
  <c r="O27" i="2" s="1"/>
  <c r="AL24" i="2"/>
  <c r="P24" i="2"/>
  <c r="O24" i="2"/>
  <c r="AL22" i="2"/>
  <c r="P22" i="2"/>
  <c r="O22" i="2" s="1"/>
  <c r="AL19" i="2"/>
  <c r="P19" i="2"/>
  <c r="O19" i="2"/>
  <c r="T17" i="2"/>
  <c r="T15" i="2"/>
  <c r="T14" i="2"/>
  <c r="AL11" i="2"/>
  <c r="T11" i="2"/>
  <c r="P11" i="2" s="1"/>
  <c r="P31" i="2" l="1"/>
  <c r="O17" i="2"/>
  <c r="T31" i="2"/>
  <c r="O11" i="2"/>
  <c r="O30" i="2"/>
  <c r="P79" i="1"/>
  <c r="O79" i="1" s="1"/>
  <c r="P70" i="1"/>
  <c r="O77" i="1" s="1"/>
  <c r="T69" i="1"/>
  <c r="T62" i="1"/>
  <c r="T58" i="1"/>
  <c r="T107" i="1" s="1"/>
  <c r="T54" i="1"/>
  <c r="P44" i="1"/>
  <c r="O44" i="1" s="1"/>
  <c r="P36" i="1"/>
  <c r="O36" i="1" s="1"/>
  <c r="P24" i="1"/>
  <c r="O24" i="1" s="1"/>
  <c r="P11" i="1"/>
  <c r="O11" i="1" s="1"/>
  <c r="O74" i="1" l="1"/>
  <c r="O73" i="1"/>
  <c r="O78" i="1"/>
  <c r="P52" i="1"/>
  <c r="O52" i="1" s="1"/>
  <c r="O70" i="1"/>
  <c r="O75" i="1"/>
  <c r="P107" i="1" l="1"/>
</calcChain>
</file>

<file path=xl/comments1.xml><?xml version="1.0" encoding="utf-8"?>
<comments xmlns="http://schemas.openxmlformats.org/spreadsheetml/2006/main">
  <authors>
    <author>AUXPLANEACION55</author>
  </authors>
  <commentList>
    <comment ref="T26" authorId="0" shapeId="0">
      <text>
        <r>
          <rPr>
            <b/>
            <sz val="9"/>
            <color indexed="81"/>
            <rFont val="Tahoma"/>
            <family val="2"/>
          </rPr>
          <t>AUXPLANEACION55:</t>
        </r>
        <r>
          <rPr>
            <sz val="9"/>
            <color indexed="81"/>
            <rFont val="Tahoma"/>
            <family val="2"/>
          </rPr>
          <t xml:space="preserve">
ajuste decimal</t>
        </r>
      </text>
    </comment>
    <comment ref="T29" authorId="0" shapeId="0">
      <text>
        <r>
          <rPr>
            <b/>
            <sz val="9"/>
            <color indexed="81"/>
            <rFont val="Tahoma"/>
            <family val="2"/>
          </rPr>
          <t>AUXPLANEACION55:</t>
        </r>
        <r>
          <rPr>
            <sz val="9"/>
            <color indexed="81"/>
            <rFont val="Tahoma"/>
            <family val="2"/>
          </rPr>
          <t xml:space="preserve">
ajuste decimal</t>
        </r>
      </text>
    </comment>
  </commentList>
</comments>
</file>

<file path=xl/sharedStrings.xml><?xml version="1.0" encoding="utf-8"?>
<sst xmlns="http://schemas.openxmlformats.org/spreadsheetml/2006/main" count="5157" uniqueCount="2478">
  <si>
    <t>PROGRAMACIÓN PLAN DE ACCIÓN 
SECRETARÍA DE PLANEACIÓN
DICIEMBRE 31 DE 2020</t>
  </si>
  <si>
    <t xml:space="preserve">CODIGO:  </t>
  </si>
  <si>
    <t xml:space="preserve">F-PLA-06   </t>
  </si>
  <si>
    <t xml:space="preserve">VERSIÓN: </t>
  </si>
  <si>
    <t>O6</t>
  </si>
  <si>
    <t xml:space="preserve">FECHA: </t>
  </si>
  <si>
    <t>Nov. 22 de 2017</t>
  </si>
  <si>
    <t>PÁGINA:</t>
  </si>
  <si>
    <t xml:space="preserve"> 1 de 1</t>
  </si>
  <si>
    <t>PLAN DE DESARROLLO DEPARTAMENTAL:  "TÚ Y YO SOMOS QUINDÍO"</t>
  </si>
  <si>
    <t xml:space="preserve">PROYECTO </t>
  </si>
  <si>
    <t>POBLACIÓN</t>
  </si>
  <si>
    <t>CODIGO</t>
  </si>
  <si>
    <t xml:space="preserve">ESTRATEGIA </t>
  </si>
  <si>
    <t xml:space="preserve">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</si>
  <si>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</si>
  <si>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</si>
  <si>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</si>
  <si>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</si>
  <si>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</si>
  <si>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</si>
  <si>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</si>
  <si>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</si>
  <si>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</si>
  <si>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</si>
  <si>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</si>
  <si>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</si>
  <si>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</si>
  <si>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</si>
  <si>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</si>
  <si>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</si>
  <si>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</si>
  <si>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</si>
  <si>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</si>
  <si>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CODIFICACIÓN INTERNA DE LA META</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</si>
  <si>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</si>
  <si>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</si>
  <si>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</si>
  <si>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</si>
  <si>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</si>
  <si>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</si>
  <si>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</si>
  <si>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</si>
  <si>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</si>
  <si>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</si>
  <si>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</si>
  <si>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</si>
  <si>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</si>
  <si>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</si>
  <si>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</si>
  <si>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LIDERAZGO, GOBERNABILIDAD Y TRANSPARENCIA.   </t>
  </si>
  <si>
    <t>Participación ciudadana y política y respeto por los derechos humanos y diversidad de creencias. "Quindío integrado y participativo"</t>
  </si>
  <si>
    <t>DNP</t>
  </si>
  <si>
    <t>42.2</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</si>
  <si>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</si>
  <si>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</si>
  <si>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 xml:space="preserve">0305 - 5 - 1 4 16 42 7 - 88
0305 - 5 - 3 1 5 27 85 16 7 - 20
</t>
  </si>
  <si>
    <t>201663000-0007</t>
  </si>
  <si>
    <t>Asistencia al Consejo Territorial de Planeación del Departamento del Quindío.</t>
  </si>
  <si>
    <t xml:space="preserve">Fortalecer competencias de planificación del consejo territorial del Departamento del Quindío,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2020.   </t>
  </si>
  <si>
    <t xml:space="preserve">Apoyar la participación de los integrantes del consejo territorial a congresos y eventos nacionales regionales y departamentales, en el Departamento del Quindío, durante la vigencia 2020
Utilizar diversos medios e instrumentos para la difusión del accionar del consejo territorial a través de estrategias de comunicación e imagen institucional y adquisición de equipos digitales y de cómputo en el Departamento del Quindío, durante la vigencia 2020.
Aumentar los  espacios para capacitación orientados en planificación del territorio Quindiano a través de diplomado o Escuela de liderazgo en ordenamiento territorial en el Departamento del Quindío, durante la vigencia 2020.   </t>
  </si>
  <si>
    <t xml:space="preserve">1.1  Talleres Participativos Sectoriales 
1.2  Sesiones de Recolección de Información con la Sociedad Civil
1.3  Cartografía Social Departamental
1.4  Emisión de documentos de trabajo  
1.5  Empleo de medios de comunicación social: radio, prensa, televisivos.
1.6  Intercambios RAP Eje Cafetero    
</t>
  </si>
  <si>
    <t xml:space="preserve">
Secretaría de Planeación</t>
  </si>
  <si>
    <t>2.1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</si>
  <si>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 xml:space="preserve">2.2. XIV Encuentro CTP, traslados de ida y vuelta desde su lugar de origen Plaza de Bolívar del Municipio de Armenia hasta el Municipio de "Montenegro”,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</si>
  <si>
    <t>2.4. 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</si>
  <si>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2.1 Adquisiciòn de Equipo de computo e inmuebles: Tablets</t>
  </si>
  <si>
    <t xml:space="preserve">2.2  Scaner, Camara fotografia, Grabadora, Microfonos Inalambricos. </t>
  </si>
  <si>
    <t xml:space="preserve">3.1 Comunicaciones externas de interes público a traves de medios radiales, prensa y televisivos. </t>
  </si>
  <si>
    <t>3.2 Actualizaciòn y cargas permanente a la pagina Web y redes del Consejo Territorial</t>
  </si>
  <si>
    <t>Recurso Ordinario</t>
  </si>
  <si>
    <t>3.3. Suministro de material litografico, papeleria, impresos y publicaciones, entre otros.</t>
  </si>
  <si>
    <t>4.1. Realización Capacitaciones/Talleres/Seminarios/ Ciclo de Conferencias sobre Desarrollo Territorial,etc</t>
  </si>
  <si>
    <t>4.2. Diseñar y elaborar el contenido academico y programatico del Centro de Pensamiento/Escuela de Liderazgo</t>
  </si>
  <si>
    <t>Fortalecimiento de la Gestión  y Desempeño Institucional. "Quindío con una administración al servicio de la ciudadanía "</t>
  </si>
  <si>
    <t>45.5</t>
  </si>
  <si>
    <t>Instrumentos de planificación para  el  Ordenamiento y la Gestión Territorial Departamental (Plan de Desarrollo Departamental PDD, Politicas y Directrices de Ordenamiento Territorial, Sistema de Información Geográfica, Catastro Multiproposito  y mecanismos de integración)</t>
  </si>
  <si>
    <t xml:space="preserve">Instrumentos de planificación de ordenamiento y gestión territorial departamental implementados. </t>
  </si>
  <si>
    <t>0305 - 5 - 3 1 5 28 87 17 2 - 20</t>
  </si>
  <si>
    <t>201900363-0002</t>
  </si>
  <si>
    <t>Formulación  e implementación del  Plan de Desarrollo Departamental 2020-2023</t>
  </si>
  <si>
    <t>Aumentar los índices eficacia y eficiencia  de la inversión social en el Departamento del Quindío, a través de la formulación del Plan de Desarrollo 2020- 2023 (Componentes: Estratégico-financiero- seguimiento y evaluación) con  procesos de participación y sensibilización conducentes a  lograr el empoderamiento  de los entes territoriales municipales,  sociedad  civil y organizada en la ejecución del Plan, durante el periodo administrativo</t>
  </si>
  <si>
    <t xml:space="preserve">Formular  e implementar  el Plan de Desarrollo Departamental  2020-2023 a través  de la  estructuración del componente estratégico, financiero, de seguimiento y evaluación,  con el fin de lograr la construcción de  un instrumento de planificación  acorde al programa de gobierno  y las necesidades de la comunidad,  durante la vigencia 2020 .
Realizar la socialización del Plan de Desarrollo del Departamento del Quindío  2020- 2023, a través de  estrategias de divulgación ( Talleres de capacitación y  cartilla informativa), con el fin de lograr  el empoderamiento y  el control ciudadano en  el proceso de ejecución del  Plan  </t>
  </si>
  <si>
    <t>1.1 Captura de Información situación actual de la entidad territorial y su entorno - Identificación y analisis de indicadores :económicos, sociales, financieros e institucionales</t>
  </si>
  <si>
    <t xml:space="preserve">Recurso Ordinario 
</t>
  </si>
  <si>
    <t>1.2 Realización mesas participativas construcción componente diagnóstico PDD (Identificacación de problemas, causas y consecuencias)</t>
  </si>
  <si>
    <t xml:space="preserve">1.3 Estructuración componente Diagnóstico por sectores </t>
  </si>
  <si>
    <t>2.1 Construcción participativa visión PDD</t>
  </si>
  <si>
    <t xml:space="preserve">2.2 Mesas participativas formulación Plan de Desarrollo </t>
  </si>
  <si>
    <t>2.3 Estructuración componente estratégico Plan de Desarrollo</t>
  </si>
  <si>
    <t>2.4 Estructuración componente financiero Plan de Desarrollo (Marco Fiscal a mediano plazo, Plan Financiero y matriz Plurianual)</t>
  </si>
  <si>
    <t>2.5 Socialización propuesta en los diferentes sectores e instancias de participación  ciudadana y ajuste anteproecto Plan de Desarrollo de conformidad con las recomendaciones</t>
  </si>
  <si>
    <t xml:space="preserve">2.6 Asistencia técnica entes territoriales Municipales </t>
  </si>
  <si>
    <t>3.1 Formulación componente de seguimiento y evaluación del Plan de Desarrollo Departamental</t>
  </si>
  <si>
    <t>Socialización Plan de Desarrollo del Quindio entes territoriales, institucionalidad, academia y demás instancias.</t>
  </si>
  <si>
    <t>Refrigerios Mesas</t>
  </si>
  <si>
    <t>0305 - 5 - 1 4 17 45 9 - 88 
0305 - 5 - 3 1 5 28 87 17 9 - 20</t>
  </si>
  <si>
    <t>201663000-0009</t>
  </si>
  <si>
    <t>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</si>
  <si>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</si>
  <si>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Quindío( I- Fase)
Fortalecer el  Sistema de Información Geográfica del Departamento del Quindío </t>
  </si>
  <si>
    <t>Implementación y Seguimiento a las directrices del POD y seguimento al catastro multiproposito de los municpios del Quindio</t>
  </si>
  <si>
    <t>Secretará de Planeación</t>
  </si>
  <si>
    <t>Fortalecimiento  de los procesos de asociatividad y de integracion regional  desde los municpios del departamento</t>
  </si>
  <si>
    <t>socializacion de las directrices de ordenamiento territorial POD en los Municipios del Departamento</t>
  </si>
  <si>
    <t>fortalecimeinto de la Plataforma SIG INSTITUCIONAL licenciamiento software.</t>
  </si>
  <si>
    <t>Mantenimiento y Actualizacion permanente de las bases de Datos del SIG</t>
  </si>
  <si>
    <t xml:space="preserve">Fortalecimiento de los procesos de ordenamiento territorial y  acompañamiento técnico en la implementacion de la cartografia estrategica para la formulación del OT de los municipios </t>
  </si>
  <si>
    <t xml:space="preserve">Recurso Ordinario </t>
  </si>
  <si>
    <t>45.4</t>
  </si>
  <si>
    <t>Observatorio económico del Departamento, con procesos de fortalecimiento</t>
  </si>
  <si>
    <t>Observatorio económico del Departamento del Quindío actualizado y dotado.</t>
  </si>
  <si>
    <t>0305 - 5 - 1 4 17 45 10 - 88
0305 - 5 - 3 1 5 28 87 17 10 - 20</t>
  </si>
  <si>
    <t>201663000-0010</t>
  </si>
  <si>
    <t xml:space="preserve">Diseño    e implementación del Observatorio  de Desarrollo Humano en el Departamento del Quindio </t>
  </si>
  <si>
    <t xml:space="preserve">Aumentar los índices eficacia y eficiencia  de la inversión social en el Departamento del Quindío, a través  del diseño e implementación de la primera fase  del Observatorio de Desarrollo Humano en el Departamento del Quindío (Diagnóstico y compilación de la información estadística -Elaboración de los lineamientos metodológicos, tecnológicos y presupuestales),durante el periodo administrativo. </t>
  </si>
  <si>
    <t>Elaborar  diagnóstico y compilar las estadísticas existentes en el Departamento por series de tiempo  y estrategias ( Inclusión social, seguridad humana, desarrollo sostenible, buen gobierno y prosperidad con equidad), con el fin contar con información soporte  que permita la toma de decisiones y aumentar los índices de eficacia y eficiencia de la inversión social en el Departamento del Quindío, durante la vigencia 2020.
Elaborar los lineamientos metodológicos, tecnológicos y presupuestales para la implementación del Observatorio de Desarrollo Humano en Departamento del Quindío, con el fin  de contar con los soportes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Quindío, durante la vigencia 2020</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</si>
  <si>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2020.</t>
  </si>
  <si>
    <t xml:space="preserve">
Secretará de Planeación</t>
  </si>
  <si>
    <t>2.1 Análisis de la información recolectada para la actualización y generación de los  boletines trimestrales (4), el informe anual del departamento (1) y los demás análisis requeridos correspondientes a la vigencia 2020 (1 Informe de Empleo)</t>
  </si>
  <si>
    <t>2.2 Fortalecer el seguimiento a los problemas identificados en el departamento con relación a los ODS para la última vigencia de análisis.</t>
  </si>
  <si>
    <t>3.1.1. Apoyo en la implementación del sistema de consulta del Observatorio de Desarrollo Humano y fortalecimiento de su funcionamiento a partir de la compra de equipos informáticos, periféricos y licencias.</t>
  </si>
  <si>
    <t xml:space="preserve">3.1.2. Apoyo en la recolección y procesamiento de bases y datos estadísticos para la estructuración del sistema de información </t>
  </si>
  <si>
    <t>4.1.1. Apoyo en la asistencia y revisión de las Fichas Básicas Municipales</t>
  </si>
  <si>
    <t>45.3</t>
  </si>
  <si>
    <t>Banco de Programas y Proyectos del Departamento  con Procesos de fortalecimiento.</t>
  </si>
  <si>
    <t>Banco de Programas y Proyectos del Departamento fortalecido</t>
  </si>
  <si>
    <t>0305 - 5 - 1 4 17 45 12 - 88
0305 - 5 - 3 1 5 28 87 17 12 - 20</t>
  </si>
  <si>
    <t>201663000-0012</t>
  </si>
  <si>
    <t>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</si>
  <si>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</si>
  <si>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
Fortalecer el Monitoreo, control y seguimiento de los proyectos de inversión en tiempo real
Brindar apoyo técnico integral o interdisciplinario a las Secretarias de la Gobernación del Quindío y a los entes territoriales en la identificación y formulación  de Proyectos en el marco de la Metodología General Ajustada, Marco Lógico y otras</t>
  </si>
  <si>
    <t>1.2 Asistencia Técnica  en estructuración, formulación y revisión de proyectos, Metodología General Ajustada MGA,   seguimiento a  trámites de  aprobación  proyectos  de Inversión SGR  y  mesas técnicas (Secretarias Sectoriales,   Instancias de carácter municipal, departamental, regional  y/o nacional), rendición de cuentas Sistema General de Regalias SGR, reuniones OCAD  Regional y Departamental.</t>
  </si>
  <si>
    <t>Secretaría de Planeación</t>
  </si>
  <si>
    <t>2.6.  Apoyo técnico  y acompañamiento a las unidades ejecutoras para el Seguimiento a los Proyectos de Inversión del Banco de Proyectos nivel departamental en el  SISTEMA DE SEGUIMIENTO A PROYECTOS DE INVERSIÓN -SPI-, teniendo en cuenta la Ejecución fisica, el seguimiento a actividades, el  Seguimiento de gestión y los anexos.</t>
  </si>
  <si>
    <t>2.1. Asistencia Técnica en la formulación y estructuración de  proyectos de carácter estrategico (del orden departamental, Regional, Nacional e Internacional), en  las Metodologías requeridas, apoyando la realizacion de mesas de trabajo con las unidades ejecutoras y entidades actoras, para la construccion de los documentos y anexos requeridos en los proyectos, la verifcacion de requisitos en los proyectos,  el diligenciamiento de la información en las plataformas requeridas y la socializacion de los proyectos formulados .</t>
  </si>
  <si>
    <t xml:space="preserve"> 2.2 Asistencia Técnica a las unidades ejecutoras en la formulación y estructuración de proyectos de acuerdo al Plan de Desarrollo 2020-2023, apoyando las mesas de trabajo, los procesos de revisión y verificación del cumplimiento de requisitos generales.</t>
  </si>
  <si>
    <t>Recurso ordinario</t>
  </si>
  <si>
    <t>2.3. Apoyo técnico para la incorporación y diligenciamiento de la información de los proyectos de inversión, de acuerdo al Plan de Desarrollo 2020-2023, a través de las plataformas de  la Metodología General Ajustada —MGA WEB, SUIFP-TERRITORIO, de acuerdo a la normatividad vigente y  las directrices establecidas por el Departamento Nacional de Planeación –DNP-, realizando talleres con las unidades ejecutoras.</t>
  </si>
  <si>
    <t xml:space="preserve">2.4.  Apoyo y acompañamiento técnico para la realización de modificaciones y/o  ajustes a los proyectos de Inversión vigencia 2020, de acuerdo a los formatos y directrices del Manual Operativo del Banco de Programas y Proyectos del Departamento y su actualización en las plataformas de  la Metodología General Ajustada —MGA WEB, SUIFP-TERRITORIO.  </t>
  </si>
  <si>
    <t xml:space="preserve">2.5. Apoyo a los procesos de revision, verificación de cumplimiento de requisitos generales y acompañamiento a los proyectos presentados  por formuladores ciudadanos u oficiales,  presentando los respectivos informes y actualización de la caracterización de  los proyectos e iniciativas  estratégicas  del departamento y sus municipios, susceptibles de ser financiados con recursos del orden departamental, regional, nacional e internacional. </t>
  </si>
  <si>
    <t>2.7.  Seguimiento, identificaciòn y sistematizaciòn de las iniciativas y proyectos susceptibles a ser financiados con recursos de cooperaciòn internacional, gestionados por los entes territoriales municipales ante las agencias de cooperaciòn y embajadas extranjeras en el pais.</t>
  </si>
  <si>
    <t>2.8 Capacitación y asistencia tecnica a las unidades ejecutoras de la administración departamental, en forulación, estructuración metodologica,teoria de proyectos, gestión presupuestal de la inversión publica, armonizacion de proyectos y herramientas informaticas que soporten el ciclo de la inversión: MGA, SUIFP Y SPI, de acuerdo al plan de desarrollo 2020-2023</t>
  </si>
  <si>
    <t>2.9 Apoyo y asistencia tecnica en la formulación y estructuración de los proyectos de la secretaria de planeación departamental, de acuerdo al plan de desarrollo 2020-2023, apoyando la revisión y verificación del cumplimiento de requisitos generales y la actualización en la plataformas de la metodologia general ajustada -MGA WEB, SUIFP-TERRITORIO,SPI</t>
  </si>
  <si>
    <t>45.17</t>
  </si>
  <si>
    <t xml:space="preserve">Entes territoriales  con servicio de asistencia técnica de los Instrumentos de Planificación para  el Ordenamiento y la Gestión Territorial departamental. </t>
  </si>
  <si>
    <t>Entes territoriales con procesos de asistencia técnica realizadas.</t>
  </si>
  <si>
    <t>0305 - 5 - 1 4 17 45 14 - 88
0305 - 5 - 3 1 5 28 87 17 14 - 20</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</si>
  <si>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</si>
  <si>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</si>
  <si>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2020. </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</si>
  <si>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t>
  </si>
  <si>
    <t>Asistencia Técnica  en estructuración, formulación y revisión de proyectos, Metodología General Ajustada MGA,   seguimiento a  trámites de  aprobación  proyectos  de Inversión SGR  y  mesas técnicas (Secretarias Sectoriales,   Instancias de carácter municipal, departamental, regional  y/o nacional), rendición de cuentas Sistema General de Regalias SGR, reuniones OCAD  Regional y Departamental.</t>
  </si>
  <si>
    <t xml:space="preserve">Asistencia técnica, seguimiento y/o evaluación Planes Básicos de Ordenamiento Territorial  </t>
  </si>
  <si>
    <t>Capacitación , Asistencia técnica, seguimiento y evaluación  instrumentos de planificación a los doce municipios</t>
  </si>
  <si>
    <t>45.12</t>
  </si>
  <si>
    <t>Entes territoriales con servicio de asistencia  técnica del Modelo Integrado de Planeación y de Gestión MIPG</t>
  </si>
  <si>
    <t>Entes Territoriales con procesos de asistencia técnica realizadas.</t>
  </si>
  <si>
    <t>Asistencia técnica a los Entes territoriales en el Modelo Integrado de Planeación y de Gestión MIPG</t>
  </si>
  <si>
    <t>45.13</t>
  </si>
  <si>
    <t>Entes territoriales  con servicio de asistencia técnica en la Medición del Desempeño Municipal.</t>
  </si>
  <si>
    <t>Asistencia técnica, seguimiento y/o evaluación  Ranking Integral de Desempeño Municipal.</t>
  </si>
  <si>
    <t>45.15</t>
  </si>
  <si>
    <t xml:space="preserve">Entes territoriales  con servicio de asistencia técnica  en el Sistema de Identificación de Potenciales Beneficiarios de Programas Sociales (SISBEN). </t>
  </si>
  <si>
    <t xml:space="preserve">Asistencia técnica en la operatividad del Sistema de Selección de Beneficiarios SISBEN III en los doce municipios del Departamento del Quindío:  </t>
  </si>
  <si>
    <t>45.16</t>
  </si>
  <si>
    <t>Entes territoriales con servicio de asistencia técnica en la formulación, preparación, seguimiento y evaluación de las políticas públicas.</t>
  </si>
  <si>
    <t xml:space="preserve">Capacitación , Asistencia técnica, seguimiento y/o evaluación Politicas Públicas  </t>
  </si>
  <si>
    <t>45.14</t>
  </si>
  <si>
    <t xml:space="preserve">Entes territoriales  con servicio de asistencia técnica en Banco de Programas y Proyectos de Inversión Nacional (BPIN).  </t>
  </si>
  <si>
    <t>Capacitación , Asistencia técnica, seguimiento y/o evaluación Metodologia General Ajustada</t>
  </si>
  <si>
    <t>45.1</t>
  </si>
  <si>
    <t>Implementación de  las Dimensiones y Politicas  del Modelo Integrado de Planeación y de Gestión MIPG</t>
  </si>
  <si>
    <t>Número de Dimensiones y Políticas   de MIPG implementadas.</t>
  </si>
  <si>
    <t>0305 - 5 - 1 4 17 45 6 - 88</t>
  </si>
  <si>
    <t>202000363-0006</t>
  </si>
  <si>
    <t xml:space="preserve">Implementación  del Modelo Integrado de Planeación y de Gestión MIPG en la Administración Departamental del Quindio </t>
  </si>
  <si>
    <t>Mejorar el Indice de  gestión y el desempeño institucional de la administración departamental, con el propósito de dar cumplimiento a la visión y misión institucional con eficacia y eficiencia, en beneficio de la población del Departamento del Quindío</t>
  </si>
  <si>
    <t>Fortalecer la implementación de procesos y procedimientos que reglamentan la operación de las Dimensiones y Políticas del Modelo Integrado de Planeación y de Gestión MIPG en las diferentes áreas de la Administración Departamental.</t>
  </si>
  <si>
    <t xml:space="preserve">1. DIMENSION DE TALENTO HUMANO </t>
  </si>
  <si>
    <t>2. DIMENSION DIRECCIONAMIENTO ESTRATÉGICO</t>
  </si>
  <si>
    <t>3. DIMENSION GESTIÓN PARA RESULTADOS CON VALORES</t>
  </si>
  <si>
    <t>4. DIMENSION GESTIÓN PARA RESULTADOS CON VALORES</t>
  </si>
  <si>
    <t>5. DIMENSIÓN INFORMACIÓN Y COMUNICACIÓN</t>
  </si>
  <si>
    <t>6. DIMENSION GESTIÓN DEL CONOCIMIENTO Y LA INNOVACIÓN</t>
  </si>
  <si>
    <t xml:space="preserve">7. DIMENSION DE CONTROL INTERNO </t>
  </si>
  <si>
    <t xml:space="preserve">1. DIMENSION DE TALENTO HUMANO /  1.1 POLITICA DE TALENTO HUMANO </t>
  </si>
  <si>
    <t>1. DIMENSION DE TALENTO HUMANO / 1.2 POLITICA DE  INTEGRIDAD</t>
  </si>
  <si>
    <t xml:space="preserve">2. DIMENSION DIRECCIONAMIENTO ESTRATÉGICO / 2.1 PLANEACION INSTITUCIONAL </t>
  </si>
  <si>
    <t>2. DIMENSION DIRECCIONAMIENTO ESTRATÉGICO / 2.2 POLITICA GESTIÓN PRESUPUESTAL Y EFICIENCIA DEL GASTO PUBLICO</t>
  </si>
  <si>
    <t xml:space="preserve">3. DIMENSION GESTIÓN PARA RESULTADOS CON VALORES / 3.1  POLITICA FORTALECIMIENTO ORGANIZACIONAL Y SIMPLIFICACION DE PROCESOS </t>
  </si>
  <si>
    <t xml:space="preserve">3. DIMENSION GESTIÓN PARA RESULTADOS CON VALORES / 3.2 POLITICA DE GOBIERNO DIGITAL </t>
  </si>
  <si>
    <t xml:space="preserve">3. DIMENSION GESTIÓN PARA RESULTADOS CON VALORES / 3.3  POLITICA DE SEGURIDAD DIGITAL </t>
  </si>
  <si>
    <t>3. DIMENSION GESTIÓN PARA RESULTADOS CON VALORES / 3.4 POLITICA DEFENSA JURIDICA</t>
  </si>
  <si>
    <t>3. DIMENSION GESTIÓN PARA RESULTADOS CON VALORES / 3.5 POLITICA  TRANSPARENCIA, ACCESO A LA INFORMACIÓN Y LUCHA CONTRA LA CORRUPCIÓN</t>
  </si>
  <si>
    <t xml:space="preserve">3. DIMENSION GESTIÓN PARA RESULTADOS CON VALORES / 3.6 POLITICA SERVICIO AL CIUDADANO </t>
  </si>
  <si>
    <t xml:space="preserve">3. DIMENSION GESTIÓN PARA RESULTADOS CON VALORES /3.7 POLITICA DE RACIONALIZACION DE TRÁMITES </t>
  </si>
  <si>
    <t xml:space="preserve">3. DIMENSION GESTIÓN PARA RESULTADOS CON VALORES / 3.8 POLITICA PARTICIPACIÓN CIUDADANA EN LA GESTIÓN </t>
  </si>
  <si>
    <t xml:space="preserve">3. DIMENSION GESTIÓN PARA RESULTADOS CON VALORES / 3.9 POLITICA MEJORA NORMATIVA </t>
  </si>
  <si>
    <t xml:space="preserve">4. DIMENSION GESTIÓN PARA RESULTADOS CON VALORES /4.1 POLITICA DE SEGUIMIENTO Y EVALUACIÓN DEL DESEMPEÑO INSTITUCIONAL </t>
  </si>
  <si>
    <t xml:space="preserve">5. DIMENSIÓN INFORMACIÓN Y COMUNICACIÓN / 5.1  POLITICA GESTIÓN DOCUMENTAL </t>
  </si>
  <si>
    <t xml:space="preserve">5. DIMENSIÓN INFORMACIÓN Y COMUNICACIÓN / 5.2 POLITICA  GESTIÓN DE LA INFORMACION ESTADISTICA </t>
  </si>
  <si>
    <t>6. DIMENSION GESTIÓN DEL CONOCIMIENTO Y LA INNOVACIÓN / 6.1  POLÍTICA DE GESTIÓN DEL CONOCIMIENTO Y LA INNOVACIÓN</t>
  </si>
  <si>
    <t>7. DIMENSION DE CONTROL INTERNO / 7.1 POLITICA DE CONTROL INTERNO</t>
  </si>
  <si>
    <t>Dimensiones y Politicas  del  MIPG</t>
  </si>
  <si>
    <t>Realización procesos de autoevaluación MIPG</t>
  </si>
  <si>
    <t>Logitica proceso de socialización  y divulgación MIPG</t>
  </si>
  <si>
    <t>JOSÉ IGNACIO ROJAS SEPÚLVEDA</t>
  </si>
  <si>
    <t>Secretario de Planeación</t>
  </si>
  <si>
    <t>PROGRAMACIÓN PLAN DE ACCIÓN
SECRETARIA TIC
DICIEMBRE 31 2020</t>
  </si>
  <si>
    <t>F-PLA-06</t>
  </si>
  <si>
    <t>CODIGO INTERNO META</t>
  </si>
  <si>
    <t>PRESUPUESTADO</t>
  </si>
  <si>
    <t>Edad Económicamente Activa      (20-59 años)</t>
  </si>
  <si>
    <t>INCLUSIÓN SOCIAL Y EQUIDAD</t>
  </si>
  <si>
    <t>Facilitar el acceso y uso de las Tecnologías de la Información y las Comunicaciones en todo el departamento del Quindio. "Tú y yo somos ciudadanos TIC"</t>
  </si>
  <si>
    <t>Servicio de acceso y uso de Tecnologías de la Información y las Comunicaciones</t>
  </si>
  <si>
    <t>Soluciones de conectividad en instituciones públicas instaladas</t>
  </si>
  <si>
    <t>0324 - 5 - 1 1 13 16 35 - 20
0324 - 5 - 1 1 13 16 35 - 88</t>
  </si>
  <si>
    <t>202000363-0035</t>
  </si>
  <si>
    <t>Fortalecimiento  y apoyo a las tecnologías de la información de las comunicaciones en el departamento del Quindío.</t>
  </si>
  <si>
    <t>Fortalecer e incentivar la apropiación, acceso y uso de herramientas tecnológicas en diversos sectores y comunidad en general, con el fin de generar el nacimiento de una nueva opción económica como lo es la industria y la venta de servicios TIC, impactando positivamente, el desarrollo económico en el Departamento del Quindío, a través de la transformación digital y los emprendimientos de este sector.</t>
  </si>
  <si>
    <t>Ofrecer puntos de acceso comunitario a las Tecnologías de la Información y las Comunicaciones en los diferentes sectores urbanos del Departamento del Quindío.</t>
  </si>
  <si>
    <t>Apoyo técnico y/o profesional en la estructuracion, direccionamiento y transición del protocolo IPV6 en instituciones públicas en el departamento del Quindío.</t>
  </si>
  <si>
    <t xml:space="preserve">Recurso Ordinario  </t>
  </si>
  <si>
    <t>Secretaría TIC</t>
  </si>
  <si>
    <t>Adquisición de equipos de infraestructura tecnológica que permitan la modernizacion, con el fin de apoyar la transicion hacia el protocolo IPV6 en instituciones publicas del departamento del Quindío.</t>
  </si>
  <si>
    <t>Superavit Recurso Ordinario</t>
  </si>
  <si>
    <t>Apoyo tecnico y/o profesional para la sostenibilidad y/o modernizacion de la infraestructura tecnologica de la gobernacion del quindio.</t>
  </si>
  <si>
    <t>Modernización tecnológica del edificio de la Gobernación</t>
  </si>
  <si>
    <t>16.5</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</si>
  <si>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</si>
  <si>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</si>
  <si>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</si>
  <si>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Apoyo técnico y/o profesional para la capacitación de personas en tecnologías de la información y las comunicaciones.ciones.</t>
  </si>
  <si>
    <t>Fomento del desarrollo de aplicaciones, software y contenidos para impulsar la apropiación de las Tecnologías de la Información y las Comunicaciones (TIC) "Quindío paraiso empresarial TIC-Quindío TIC"</t>
  </si>
  <si>
    <t>17.8</t>
  </si>
  <si>
    <t>Servicio de promoción de la industria de Tecnologías de la Información</t>
  </si>
  <si>
    <t xml:space="preserve">Eventos para  promoción  de productos y Servicio de la industria TI realizados </t>
  </si>
  <si>
    <t>0324 - 5 - 1 1 13 17 36 - 88</t>
  </si>
  <si>
    <t>202000363-0036</t>
  </si>
  <si>
    <t>Fortalecimiento del sector empresarial del departamento del Quindío</t>
  </si>
  <si>
    <t>Fortalecer  e incentivar la apropiación, acceso y uso de herramientas tecnológicas en diversos sectores y comunidad en general, con el fin de generar el nacimiento de una nueva opción económica como lo es la industria y la venta de servicios TIC, impactando positivamente, el desarrollo económico en el Departamento del Quindío, a través de la transformación digital y los emprendimientos de este sector.</t>
  </si>
  <si>
    <t xml:space="preserve">Realizar eventos de promoción  de los productos y servicios de la inustria de la las tecnologías de la información para el fortalecimiento empresarial del departamento </t>
  </si>
  <si>
    <t>Apoyo tecnico y/o profesional en la estructuracion  y realización de evento o ferias tecnológicas en el departamento del Quindío</t>
  </si>
  <si>
    <t xml:space="preserve">PRODUCTIVIDAD Y COMPETITIVIDAD </t>
  </si>
  <si>
    <t xml:space="preserve">Desarrollo tecnológico e innovación para el crecimiento empresarial </t>
  </si>
  <si>
    <t>31.1</t>
  </si>
  <si>
    <t>Servicio de apoyo para la transferencia de conocimiento y tecnología</t>
  </si>
  <si>
    <t>Nuevas tecnologías adoptadas</t>
  </si>
  <si>
    <t xml:space="preserve">
0324 - 5 - 1 2 13 31 1 - 88</t>
  </si>
  <si>
    <t>201663000-0001</t>
  </si>
  <si>
    <t>Apoyo a la estrategia de Gobierno en linea en el Departamento del Quindío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</si>
  <si>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</si>
  <si>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</si>
  <si>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Implementacion de servicios virtuales</t>
  </si>
  <si>
    <t>Generación de una cultura que valora y gestiona el conocimiento y la innovación.</t>
  </si>
  <si>
    <t>3904018</t>
  </si>
  <si>
    <t>32.2</t>
  </si>
  <si>
    <t>Servicios de comunicación con enfoque en Ciencia Tecnología y Sociedad</t>
  </si>
  <si>
    <t>Juguetes, juegos o videojuegos para la comunicación de la ciencia, tecnología e innovación producidos</t>
  </si>
  <si>
    <t>0324 - 5 - 1 2 13 32 37 - 88</t>
  </si>
  <si>
    <t>202000363-0037</t>
  </si>
  <si>
    <t xml:space="preserve">Implementación  y  divulgación de la estratégia    "  Quindío innovador y competitivo" </t>
  </si>
  <si>
    <r>
      <t xml:space="preserve">Potenciar la innovación en el Departamento del Quindío a través de procesos </t>
    </r>
    <r>
      <rPr>
        <sz val="12"/>
        <color theme="1"/>
        <rFont val="Arial"/>
        <family val="2"/>
      </rPr>
      <t>fomento de la participación ciudadana en ciencia, tecnología e innovación,</t>
    </r>
    <r>
      <rPr>
        <sz val="12"/>
        <color rgb="FF000000"/>
        <rFont val="Arial"/>
        <family val="2"/>
      </rPr>
      <t xml:space="preserve"> apoyo a las empresas, universidades y otras instancias que generan conocimiento e investigación.</t>
    </r>
  </si>
  <si>
    <t>Realizar la transformación digital de las empresas de la región con la apropiación de herramientas digitales, que permitan ser competitivos en los diferentes sectores productivos ( Juguetes, juegos o videojuegos para la comunicación )</t>
  </si>
  <si>
    <t>Apoyo técnico y/o profesional en la elaboración, construcción y/o sensibilización de servicios con base tecnológica en el Departamento del Quindío.</t>
  </si>
  <si>
    <t>LIDERAZGO, GOBERNABILIDAD Y TRANSPARENCIA</t>
  </si>
  <si>
    <t xml:space="preserve"> </t>
  </si>
  <si>
    <t>17.6</t>
  </si>
  <si>
    <t>Servicio de educación informal para la implementación de la Estrategia de Gobierno digital</t>
  </si>
  <si>
    <t>Personas capacitadas para la implementación de la Estrategia de Gobierno digital</t>
  </si>
  <si>
    <t>0324 - 5 - 3 1 5 28 89 17 4 - 20
0324 - 5 - 1 4 17 17 4 - 88</t>
  </si>
  <si>
    <t>201663000-0004</t>
  </si>
  <si>
    <t>Apoyo a la sostenibilidad de las tecnologías de la información y comunicación de la Gobernación del Quindío</t>
  </si>
  <si>
    <t>Optimizar la infraestructura informática y de comunicaciones disponible a través de actualización de equipos y aplicaciones para una mejor atención al usuario</t>
  </si>
  <si>
    <t>Modernizar la infraestructura tecnológica mediante la actualización de herramientas tecnológicas y soporte de primer nivel; para agilizar los procesos</t>
  </si>
  <si>
    <t>Apoyo técnico y/o profesional</t>
  </si>
  <si>
    <t xml:space="preserve"> Recurso Ordinario</t>
  </si>
  <si>
    <t>Apoyo tecnico y/o profesional para la capacitación de personas en la  implementación de la estrategia de gobierno digital</t>
  </si>
  <si>
    <t>17.10</t>
  </si>
  <si>
    <t>Servicio de educación informal en Gestión TI y en Seguridad y Privacidad de la Información</t>
  </si>
  <si>
    <t>Personas capacitadas para en Gestión TI y en Seguridad y Privacidad de la Información</t>
  </si>
  <si>
    <t>Apoyo tecnico y/o profesional para la capacitación de personas en la implemetacion de la Gestión TI y en Seguridad y Privacidad de la Información</t>
  </si>
  <si>
    <t>JOHN MARIO LIÉVANO FERNÁNDEZ</t>
  </si>
  <si>
    <t>Secretario TIC</t>
  </si>
  <si>
    <t>PLAN DE ACCIÓN
SECRETARIA ADMINISTRATIVA
DICIEMBRE 31   DE   2020</t>
  </si>
  <si>
    <t>01 de 1</t>
  </si>
  <si>
    <t xml:space="preserve">PLAN DE DESARROLLO DEPARTAMENTAL </t>
  </si>
  <si>
    <t>CODIGO INTERNO
META</t>
  </si>
  <si>
    <t>GÉNERO</t>
  </si>
  <si>
    <t xml:space="preserve">PRESUPUESTADO </t>
  </si>
  <si>
    <t>Palenqueras</t>
  </si>
  <si>
    <t>Implementación de  las Dimensiones y Políticas  del Modelo Integrado de Planeación y de Gestión MIPG</t>
  </si>
  <si>
    <t>202000363-0003</t>
  </si>
  <si>
    <t>Implementación del  Modelo Integrado de Planeación y de Gestión MIPG  de la  Administración Departamental del Quindío (  Dimensiones  de Talento humano,  Información y Comunicación y Gestión del Conocimiento).</t>
  </si>
  <si>
    <t>Mejorar el Índice de  gestión y el desempeño institucional de la administración departamental, con el propósito de dar cumplimiento a la visión y misión institucional con eficacia y eficiencia, en beneficio de la población del Departamento del Quindío</t>
  </si>
  <si>
    <t>Implementar del  Modelo Integrado de Planeación y de Gestión MIPG ,  Dimensiones  de Talento humano,  Información y Comunicación y Gestión del Conocimiento  con el propósito de mejorar el índice de gestión y desempeño y el cumplimiento de las metas del Plan de Desarrollo 2020-2023</t>
  </si>
  <si>
    <t xml:space="preserve">Desarrollar un plan de trabajo para identificar los medios, mecanismos, procesos y procedimientos para capturar, clasificar y organizar el conocimiento de la Entidad.     </t>
  </si>
  <si>
    <t>Secretaría Administrativa-Dirección Talento Humano</t>
  </si>
  <si>
    <t xml:space="preserve">Realizar el  diagnóstico  y el Plan de Acción de la  implementación del Código de Integridad.  </t>
  </si>
  <si>
    <t>Ejecutar las actividades establecidas en el Plan Institucional de Archivos PINAR.</t>
  </si>
  <si>
    <t>45.9</t>
  </si>
  <si>
    <t>Estrategias  de actualización, depuración, seguimiento y evaluación de las bases de datos  del Pasivo Pensional  de la Administración Departamental.</t>
  </si>
  <si>
    <t>Estrategias  de actualización, depuración, seguimiento y evaluación de las bases de datos  del Pasivo Pensional  de la Administración Departamental</t>
  </si>
  <si>
    <t>202000363-0004</t>
  </si>
  <si>
    <t>Actualización, depuración, seguimiento y evaluación   del  Pasivo Pensional  de la Administración Departamental del Quindío</t>
  </si>
  <si>
    <t xml:space="preserve">Implementar estrategias de actualización, depuración, seguimiento y evaluación de las bases de datos del pasivo pensional de la administración departamental, con el fin de contar con  información depurada y real, que permita el desarrollo de acciones administrativas a corto, mediano y largo plazo.  </t>
  </si>
  <si>
    <t>Diseñar y Establecer  los procedimientos que se van a implementar en el Fondo Territorial de Pensiones con el fin de contar con la información depurada  y real.</t>
  </si>
  <si>
    <t>Secretaría Administrativa-Dirección Fondo Territorial de Pensiones</t>
  </si>
  <si>
    <t>Depurar los expedientes administrativos que reposan  en el Fondo Territorial de Pensiones.</t>
  </si>
  <si>
    <t>Adelantar acciones para determinar qué cuotas partes están a favor o cargo del Ente Territorial.</t>
  </si>
  <si>
    <t>42.3</t>
  </si>
  <si>
    <t>Implementación del Plan de Acción del Sistema Departamental de Servicio a la Ciudadanía SDSC</t>
  </si>
  <si>
    <t xml:space="preserve">Plan de Acción del Sistema Departamental de Servicio a la Ciudadanía SDSC implementado. </t>
  </si>
  <si>
    <t>202000363-0005</t>
  </si>
  <si>
    <t>Implementación del Sistema Departamental de Servicio a la Ciudadanía SDSC   en la Administración Departamental.</t>
  </si>
  <si>
    <r>
      <t>Fortalecer la democracia participativa, organización y participación de la sociedad civil y la garantía de los derechos y deberes electorales.</t>
    </r>
    <r>
      <rPr>
        <vertAlign val="superscript"/>
        <sz val="12"/>
        <color theme="1"/>
        <rFont val="Arial"/>
        <family val="2"/>
      </rPr>
      <t xml:space="preserve"> </t>
    </r>
  </si>
  <si>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</si>
  <si>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</si>
  <si>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JHON HAROLD VALENCIA RODRÍGUEZ</t>
  </si>
  <si>
    <t>Secretario Administrativo</t>
  </si>
  <si>
    <t>.</t>
  </si>
  <si>
    <t>PROGRAMACIÓN PLAN DE ACCIÓN
SECRETARÍA DE AGRICULTURA DESARROLLO RURAL Y MEDIO AMBIENTE
DICIEMBRE 31  DE 2020</t>
  </si>
  <si>
    <t>CODIGO DE META INTERNA</t>
  </si>
  <si>
    <t>P</t>
  </si>
  <si>
    <t>PRODUCTIVIDAD Y COMPETITIVIDAD</t>
  </si>
  <si>
    <t>Inclusión productiva de pequeños productores rurales. "Tú y yo con oportunidades para el pequeño campesino"</t>
  </si>
  <si>
    <t>4.3</t>
  </si>
  <si>
    <t>Servicio de asesoría para el fortalecimiento de la asociatividad</t>
  </si>
  <si>
    <t>Asociaciones fortalecidas</t>
  </si>
  <si>
    <t>0312 - 5 - 1 2 13 4 75 - 20
0312 - 5 - 1 2 13 4 75 - 88
0312 - 5 - 3 1 2 2 6 13 75 - 20</t>
  </si>
  <si>
    <t>201663000-0075</t>
  </si>
  <si>
    <t xml:space="preserve">Fomento al emprendimiento y  al empleo rural en el Departamento del Quindío  </t>
  </si>
  <si>
    <t>Aumentar crecimiento del PIB del departamento del Quindío a frente al PIB Nacional.</t>
  </si>
  <si>
    <t>Apoyar la formalización de empresas en los sectores productivos del departamento, a través de la identificación, análisis y priorización de los potenciales emprendimientos rurales, con el fin de contribuir a generar condiciones para aumentar   producto interno bruto el departamento durante la vigencia 2016. 
Realizar apalancamiento a las iniciativas productivas rurales, a través de procesos de acompañamiento a la consolidación de ideas de negocio e implementación de garantías complementarias para el facilitar el acceso a las diferentes fuentes financiación con el fin de contribuir a generar condiciones para aumentar   producto interno bruto el departamento   durante la vigencia 2016.
Capacitar a jóvenes y mujeres en actividades agrícolas y no agrícolas con procesos de seguimiento y evaluación en la generación de ideas y/o consolidación de negocios con el fin de contribuir a generar condiciones para aumentar producto interno bruto el departamento durante la vigencia 2016.</t>
  </si>
  <si>
    <t>Apoyo En La Formalización De Empresas En Los Sectores Productivos</t>
  </si>
  <si>
    <t>Secretaría de Agricultura, Desarrollo rural y Medio Ambiente</t>
  </si>
  <si>
    <t>Convenio de cofinanciación Alianzas productivas</t>
  </si>
  <si>
    <t xml:space="preserve">
Superávit Recurso Ordinario
</t>
  </si>
  <si>
    <t>4.1</t>
  </si>
  <si>
    <t>Servicio de apoyo financiero para proyectos productivos</t>
  </si>
  <si>
    <t>Proyectos productivos cofinanciados</t>
  </si>
  <si>
    <t>Adquisición y suministro de equipos, insumos agroindustriales</t>
  </si>
  <si>
    <t>4.5</t>
  </si>
  <si>
    <t>Servicio de apoyo para el fomento organizativo de la Agricultura Campesina, Familiar y Comunitaria</t>
  </si>
  <si>
    <t>Productores agropecuarios apoyados</t>
  </si>
  <si>
    <t>0312 - 5 - 1 2 8 4 79 - 20
0312 - 5 - 1 2 8 4 79 - 88
0312 - 5 - 3 1 3 11 34 8 79 - 20</t>
  </si>
  <si>
    <t>201663000-0079</t>
  </si>
  <si>
    <t>Fomento a la agricultura familiar , urbana y  mercados campesinos para la soberanía y  Seguridad alimentaria en el Departamento del Quindío.</t>
  </si>
  <si>
    <t>Aumentar la producción de frutas y verduras para el autoconsumo del departamento del Quindío a través de la implementación de un sistema de parcelas campesinas y comercio de excedentes.</t>
  </si>
  <si>
    <t>.Diseñar e implementar un (1) programa de agricultura familiar campesina.
.Apoyar la conformación de cuatro (4) alianzas para contratos de compra anticipada de productos de la agricultura familiar en el departamento del Quindío.
.Apoyar la conformación de cuatro (4) alianzas para contratos de compra anticipada de productos de la agricultura familiar en el departamento del Quindío.
.Beneficiar a 2400 familias urbanas y periurbanas con parcelas de agricultura familiar para autoconsumo y comercio de excedentes.
.Mejorar el estado nutricional de 1795 niños menor de 5 años y de 1531 niños de 6 a 18 años en riesgo de desnutrición en el departamento.</t>
  </si>
  <si>
    <t>Apoyo técnico en el fomento organizativo de la Agricultura Campesina, Familiar y Comunitaria</t>
  </si>
  <si>
    <t>Acompañamiento Y Asistencia Técnica A Productores Agropecuarios En La Productividad Primaria Y Alistamiento De La Oferta, Permitiendo Así El Aseguramiento De La Cadena Agroalimentaria En La Productividad Primaria</t>
  </si>
  <si>
    <t>4.10</t>
  </si>
  <si>
    <t>Servicio de apoyo a la comercialización</t>
  </si>
  <si>
    <t>Organizaciones de productores formales apoyadas</t>
  </si>
  <si>
    <t>0312 - 5 - 1 2 13 4 78 - 20
0312 - 5 - 1 2 13 4 78 - 88
0312 - 5 - 1 2 13 7 78 - 20
0312 - 5 - 1 2 13 7 78 - 88
0312 - 5 - 1 2 13 27 78 - 20
0312 - 5 - 1 2 13 27 78 - 88
0312 - 5 - 3 1 2 2 7 13 78 - 20</t>
  </si>
  <si>
    <t>201663000-0078</t>
  </si>
  <si>
    <t>Fortalecimiento a la competitividad productiva y empresarial del sector rural en el Departamento del Quindío</t>
  </si>
  <si>
    <t>Crecimiento del PIB del departamento del Quindío frente al PIB Nacional</t>
  </si>
  <si>
    <t>Conocimiento de métodos no tradicionales de comercialización. 
Aumentar la divulgación de eventos especializados para acceder a mercados internacionales.</t>
  </si>
  <si>
    <t xml:space="preserve">Apoyo en asesoría y asistencia técnica en la formulación, estructuración e implementación  de proyectos de comercialización y participación en mercados campesinos. </t>
  </si>
  <si>
    <t xml:space="preserve">
Superávit Recurso Ordinario</t>
  </si>
  <si>
    <t>Puesta en marcha de los instrumentos de planificación e información rural</t>
  </si>
  <si>
    <t>Ordinario</t>
  </si>
  <si>
    <t>Adquisición y suministro de equipos, insumos y logística.</t>
  </si>
  <si>
    <t>Productores apoyados para la participación en mercados campesinos</t>
  </si>
  <si>
    <t xml:space="preserve">Apoyo en asesoría y asistencia técnica en la formulación, estructuración e implementación de proyectos de comercialización a organizaciones de productores. </t>
  </si>
  <si>
    <t>Adquisición y suministro de equipos, insumos (software, hardware)</t>
  </si>
  <si>
    <t>4.7</t>
  </si>
  <si>
    <t>Documentos de planeación</t>
  </si>
  <si>
    <t>Planes de Desarrollo Agropecuario y Rural elaborados</t>
  </si>
  <si>
    <t>0312 - 5 - 1 2 8 4 113 - 20
0312 - 5 - 1 2 8 4 113 - 88
0312 - 5 - 1 2 8 8 113 - 20
0312 - 5 - 1 2 8 8 113 - 88</t>
  </si>
  <si>
    <t>202000363-00113</t>
  </si>
  <si>
    <t>Implementación de procesos de extensión agropecuaria e inocuidad (estatus sanitario, BPA, BPG) alimentaria; en el Departamento del Quindío</t>
  </si>
  <si>
    <t>Establecer los lineamientos para el fortalecimiento de habilidades y competencias técnicas y humanas, de capacidades financieras y estratégicas de los productores, para fortalecer la competitividad y sostenibilidad territorial del sector agropecuario.</t>
  </si>
  <si>
    <t>Formular e Implementar el Plan Departamental de Extensión Agropecuaria PDEA del departamento del Quindío.
Estructurar y ejecutar proyectos integrales agropecuarios, de asistencia técnica y extensión agropecuaria
municipales.
Implementar proyectos integrales agropecuarios sostenibles, de Coordinación interinstitucional en investigación, transferencia y adopción tecnológica.</t>
  </si>
  <si>
    <t xml:space="preserve">Apoyo en asesoría y asistencia técnica en la formulación, estructuración e implementación del PLAN DEPARTAMENTAL DE EXTENSION AGROPECUARIA PDEA. </t>
  </si>
  <si>
    <t>4.8</t>
  </si>
  <si>
    <t>Servicios de acompañamiento en la implementación de Planes de desarrollo agropecuario y rural</t>
  </si>
  <si>
    <t>Planes de Desarrollo Agropecuario y Rural acompañados</t>
  </si>
  <si>
    <t>Apoyo en asesoría y asistencia técnica en la formulación, estructuración e implementación del PLAN DEPARTAMENTAL DE EXTENSION AGROPECUARIA PDEA.(municipales)</t>
  </si>
  <si>
    <t>4.4</t>
  </si>
  <si>
    <t>Servicio de apoyo para el acceso a maquinaria y equipos</t>
  </si>
  <si>
    <t>Productores beneficiados con acceso a maquinaria y equipo</t>
  </si>
  <si>
    <t>0312 - 5 - 1 2 8 4 14 - 20
0312 - 5 - 1 2 8 4 14 - 88
0312 - 5 - 1 2 8 5 14 - 20
0312 - 5 - 1 2 8 5 14 - 88</t>
  </si>
  <si>
    <t>202000363-0014</t>
  </si>
  <si>
    <t>Implementación de procesos productivos agropecuarios familiares campesinos en busca de la soberanía y seguridad alimentaria en el Departamento del Quindío.</t>
  </si>
  <si>
    <t>Estructurar y ejecutar programas y proyectos integrales agropecuarios y de acompañamiento técnico a los productores en la producción primaria y Transferencia de Tecnológica</t>
  </si>
  <si>
    <t>Formular e implementar proyectos integrales de Desarrollo Tecnológico y/o agro industriales, de dotación de
maquinaria y equipo.
Estructurar y ejecutar proyectos integrales agropecuarios de seguridad y soberanía alimentaria de
transferencia de innovaciones tecnológicas y provisión de metodologías de extensión rural (PDEA y PGAT
municipal) a los productores.
Formular e implementar programas y proyectos integrales de agro industria de extensión y asistencia técnica
agropecuaria, así como el fomento al crédito, a la infraestructura productiva.
Estructurar y ejecutar proyectos integrales agropecuarios que promuevan el acceso a los servicios de
financiamiento y a la gestión de riesgos naturales y de mercado del sector agropecuario y rural.</t>
  </si>
  <si>
    <t xml:space="preserve"> Adquisición de bienes o servicios y/o Convenio de cofinanciación Alianzas productivas; para el Servicio de apoyo para el acceso a maquinaria y equipos</t>
  </si>
  <si>
    <t>4.6</t>
  </si>
  <si>
    <t>Servicio de acompañamiento productivo y empresarial</t>
  </si>
  <si>
    <t>Unidades productivas beneficiadas</t>
  </si>
  <si>
    <t>Prestación de servicios profesionales de apoyo a la gestión para el Acompañamiento productivo y empresarial</t>
  </si>
  <si>
    <t>4.9</t>
  </si>
  <si>
    <t>Servicio de apoyo en la formulación y estructuración de proyectos</t>
  </si>
  <si>
    <t>Proyectos estructurados</t>
  </si>
  <si>
    <t>0312 - 5 - 1 2 13 4 15 - 20
0312 - 5 - 1 2 13 4 15 - 88
0312 - 5 - 1 2 13 10 15 - 20
0312 - 5 - 1 2 13 10 15 - 88</t>
  </si>
  <si>
    <t>202000363-0015</t>
  </si>
  <si>
    <t xml:space="preserve">Implementación de procesos de agro industrialización con calidad e inocuidad en el Departamento del Quindío </t>
  </si>
  <si>
    <t>Formular e implementar programas y proyectos integrales de agroindustria, que permitan el incremento de la productividad y competitividad agropecuaria sostenible</t>
  </si>
  <si>
    <t>Apoyar procesos de Formulación y estructuración de proyectos.
Mejorar los centros logísticos agropecuarios.
Mejorar la Infraestructura de pos cosecha.
Fortalecer y adecuar trapiches paneleros.</t>
  </si>
  <si>
    <t xml:space="preserve">Apoyo en asesoría y asistencia técnica en la formulación, estructuración e implementación de proyectos de AGRO INDUSTRIALIZACIÓN CON CALIDAD E INOCUIDAD  </t>
  </si>
  <si>
    <t>Servicios financieros y gestión del riesgo para las actividades agropecuarias y rurales. "Tú y yo con un campo protegido"</t>
  </si>
  <si>
    <t>5.1</t>
  </si>
  <si>
    <t>Servicio de apoyo a la implementación de mecanismos y herramientas para el conocimiento, reducción y manejo de riesgos agropecuarios</t>
  </si>
  <si>
    <t>Personas beneficiadas</t>
  </si>
  <si>
    <t>Implementación de procesos productivos agropecuarios familiares campesinos en busca de la soberanía y seguridad alimentaria.</t>
  </si>
  <si>
    <t>Estructurar y ejecutar programas y proyectos integrales agropecuarios y de acompañamiento técnico a los productores en la producción primaria y Transferencia de Tecnológica.</t>
  </si>
  <si>
    <t>Prestación de servicios profesionales de apoyo a la gestión para el Acompañamiento productivo, empresarial y riesgos productivos</t>
  </si>
  <si>
    <t>Ordenamiento social y uso productivo del territorio rural. "Tú y yo con un campo planificado"</t>
  </si>
  <si>
    <t>6.1</t>
  </si>
  <si>
    <t>Documentos de lineamientos técnicos</t>
  </si>
  <si>
    <t>Documentos de lineamientos para el ordenamiento social y productivo elaborados</t>
  </si>
  <si>
    <t>0312 - 5 - 1 2 13 6 16 - 20
0312 - 5 - 1 2 13 6 16 - 88</t>
  </si>
  <si>
    <t>202000363-0016</t>
  </si>
  <si>
    <t>Implementación de procesos de ordenamiento productivo y social territorial</t>
  </si>
  <si>
    <t>Formular e implementar procesos agropecuarios integrales, sostenibles, de reconversión productiva acordes con la aptitud, vocación y formalización de la propiedad rural ajustados a los lineamientos del Plan de Ordenamiento Productivo y Social De La Propiedad Rural (POPSPR).</t>
  </si>
  <si>
    <t>Formular e implementar el Plan de Ordenamiento Productivo Y Social De La Propiedad Rural (POPSPR).
Formular e implementar programas y proyectos agropecuarios integrales, sostenibles, de reconversión
productiva.</t>
  </si>
  <si>
    <t xml:space="preserve">Apoyo coordinación puesta en marcha del plan de ordenamiento productivo y social de la propiedad rural </t>
  </si>
  <si>
    <t>6.2</t>
  </si>
  <si>
    <t>Servicio de apoyo para el fomento de la formalidad</t>
  </si>
  <si>
    <t xml:space="preserve">Personas sensibilizadas en la formalización </t>
  </si>
  <si>
    <t xml:space="preserve">Acompañamiento en el proceso de formalización de la propiedad rural </t>
  </si>
  <si>
    <t>Aprovechamiento de mercados externos. "Tú y yo a los mercados internacionales"</t>
  </si>
  <si>
    <t>7.1</t>
  </si>
  <si>
    <t>Servicio de apoyo financiero para la participación en Ferias nacionales e internacionales</t>
  </si>
  <si>
    <t>Participaciones en ferias nacionales e internacionales</t>
  </si>
  <si>
    <t>Sanidad agropecuaria e inocuidad agroalimentaria. "Tú y yo con un agro saludable"</t>
  </si>
  <si>
    <t>8.1</t>
  </si>
  <si>
    <t>Servicio de divulgación y socialización</t>
  </si>
  <si>
    <t>Eventos realizados</t>
  </si>
  <si>
    <t>Implementación de procesos de extensión agropecuaria e inocuidad (estatus sanitario, BPA, BPG) alimentaria.</t>
  </si>
  <si>
    <t xml:space="preserve">Apoyo en asesoría y asistencia técnica en la formulación, estructuración e implementación de proyectos de Sanidad agropecuaria e inocuidad agroalimentaria. </t>
  </si>
  <si>
    <t>Adquisición y suministro de bienes, servicios, equipos, insumos, logística.</t>
  </si>
  <si>
    <t>Ciencia, tecnología e innovación agropecuaria. "Tú y yo con un agro interconectado"</t>
  </si>
  <si>
    <t>9.1</t>
  </si>
  <si>
    <t>Documentos de lineamientos técnicos elaborados</t>
  </si>
  <si>
    <t>0312 - 5 - 1 2 13 9 17 - 20
0312 - 5 - 1 2 13 9 17 - 88</t>
  </si>
  <si>
    <t>202000363-0017</t>
  </si>
  <si>
    <t xml:space="preserve">Implementación de procesos de innovación, ciencia y tecnología agropecuario en el Departamento del Quindío </t>
  </si>
  <si>
    <t>Formular e implementar programas y proyectos integrales agropecuarios sostenibles, de Coordinación interinstitucional en investigación,
transferencia y adopción de tecnologías, que permitan proyectar la educación, la ciencia, la tecnología.</t>
  </si>
  <si>
    <t>Mejorar los procesos de planificación integrales de Desarrollo Tecnológico, agropecuarios y agroindustriales y
de desarrollo rural integral.
Elaborar documentos de lineamientos técnicos.
Apoyar la coordinación interinstitucional en investigación, transferencia y adopción de sistemas de información
tecnológica.</t>
  </si>
  <si>
    <t>Apoyo coordinación puesta en marcha de proyectos de CTI</t>
  </si>
  <si>
    <t>9.2</t>
  </si>
  <si>
    <t>Servicio de información actualizado</t>
  </si>
  <si>
    <t>Sistemas de información actualizados</t>
  </si>
  <si>
    <t xml:space="preserve">Apoyo coordinación puesta en marcha de proyecto de CTI en sistemas de información y comunicación </t>
  </si>
  <si>
    <t>Infraestructura productiva y comercialización. "Tú y yo con agro competitivo"</t>
  </si>
  <si>
    <t>10.1</t>
  </si>
  <si>
    <t>Centros logísticos agropecuarios adecuados</t>
  </si>
  <si>
    <t>0312 - 5 - 1 2 13 10 15 - 88</t>
  </si>
  <si>
    <t>Implementación de procesos de agro industrialización con calidad e inocuidad en el Departamento del Quindío.</t>
  </si>
  <si>
    <t>Adquisición y suministro de equipos, insumos y licencias agroindustriales.</t>
  </si>
  <si>
    <t>10.2</t>
  </si>
  <si>
    <t>Infraestructura de pos cosecha adecuada</t>
  </si>
  <si>
    <t xml:space="preserve"> Realización de acciones de diseño, acompañamiento para adecuación de infraestructura de pos cosecha</t>
  </si>
  <si>
    <t>Adquisición y suministro de equipos, insumos y logística agroindustriales de pos cosecha</t>
  </si>
  <si>
    <t xml:space="preserve">Productividad y competitividad de las empresas colombianas. "Tú y yo con empresas competitivas" </t>
  </si>
  <si>
    <t>27.3</t>
  </si>
  <si>
    <t>Servicio de asistencia técnica para emprendedores y/o empresas en edad temprana</t>
  </si>
  <si>
    <t xml:space="preserve">Necesidades empresariales atendidas a partir de emprendimientos </t>
  </si>
  <si>
    <t>Impulsar la competitividad productiva y empresarial  mediante ruedas de negocio</t>
  </si>
  <si>
    <t xml:space="preserve">Apoyo en asesoría y asistencia técnica en la formulación, estructuración e implementación de proyectos de emprendedores y/o empresas en edad temprana. </t>
  </si>
  <si>
    <t>Superávit Recurso Ordinario</t>
  </si>
  <si>
    <t>27.2</t>
  </si>
  <si>
    <t>Servicio de asistencia técnica para el desarrollo de iniciativas clústeres</t>
  </si>
  <si>
    <t>Clústeres asistidos en la implementación de los planes de acción</t>
  </si>
  <si>
    <t>Apoyo en asesoría y asistencia técnica en la formulación, estructuración e implementación de proyectos depara el desarrollo de iniciativas clústeres.</t>
  </si>
  <si>
    <t>TERRITORIO, AMBIENTE Y DESARROLLO SOSTENIBLE</t>
  </si>
  <si>
    <t>Fortalecimiento del desempeño ambiental de los sectores productivos. "Tú y yo guardianes de la biodiversidad".</t>
  </si>
  <si>
    <t>20.2</t>
  </si>
  <si>
    <t>Documentos de lineamientos técnicos para mejorar la calidad ambiental de las áreas urbanas</t>
  </si>
  <si>
    <t>Documentos de lineamientos técnicos para para mejorar la calidad ambiental de las áreas urbanas elaborados</t>
  </si>
  <si>
    <t>0312 - 5 - 1 3 10 20 18 - 88</t>
  </si>
  <si>
    <t>202000363-0018</t>
  </si>
  <si>
    <t xml:space="preserve">Fortalecimiento de los procesos de Gestión Ambiental Urbana y Rural para la protección del Paisaje y la Biodiversidad en el Departamento del Quindío </t>
  </si>
  <si>
    <t>Promover estrategias para garantizar la conservación, protección, recuperación y gestión sostenible de la estructura ecológica del Departamento, con énfasis en la conservación y uso del recurso hídrico y la biodiversidad.</t>
  </si>
  <si>
    <t>Elaborar lineamientos técnicos para el mejoramiento de la calidad ambiental en áreas urbanas.
Determinar lineamientos técnicos en calidad ambiental de las áreas urbanas.</t>
  </si>
  <si>
    <t xml:space="preserve"> Apoyo en asesoría y asistencia técnica en la formulación, estructuración e implementación de programas y proyectos de inducción, educación y capacitación</t>
  </si>
  <si>
    <t>Apoyo en asesoría y asistencia técnica en la formulación, estructuración e implementación de Documentos de lineamientos técnicos para para mejorar la calidad ambiental de las áreas urbanas elaborados</t>
  </si>
  <si>
    <t>Conservación de la biodiversidad y sus servicios ecosistémicos. "Tú y yo en territorios biodiversos"</t>
  </si>
  <si>
    <t>21.2</t>
  </si>
  <si>
    <t>Servicio apoyo financiero para la implementación de esquemas de pago por Servicio ambientales</t>
  </si>
  <si>
    <t xml:space="preserve">Esquemas de Pago por Servicio ambientales implementados </t>
  </si>
  <si>
    <t>0312 - 5 - 1 3 10 21 67 - 20
0312 - 5 - 1 3 10 21 67 - 88
0312 - 5 - 3 1 1 1 2 10 67 - 20</t>
  </si>
  <si>
    <t>201663000-0067</t>
  </si>
  <si>
    <t>Gestión integral de cuencas hidrográficas en el Departamento del Quindío.</t>
  </si>
  <si>
    <t>Mantener  de la oferta hídrica promedio anual  de las Unidades de Manejo de Cuenca (UMC) del departamento del Quindío.</t>
  </si>
  <si>
    <t>Realizar y coordinar acciones de  recuperación y mantenimiento del recursos hídrico.</t>
  </si>
  <si>
    <t xml:space="preserve">Apoyo en asesoría y asistencia profesional en la formulación, estructuración e implementación de proyectos para Esquemas de Pago por Servicio ambientales. </t>
  </si>
  <si>
    <t xml:space="preserve">Consolidar el Fondo del Agua del departamento del Quindío  </t>
  </si>
  <si>
    <t>Adquisición y suministro de equipos, insumos y logística para Esquemas de Pago por Servicio ambientales.</t>
  </si>
  <si>
    <t xml:space="preserve">Apoyo en asesoría y asistencia técnica en la formulación, estructuración e implementación de proyectos para Esquemas de Pago por Servicio ambientales. </t>
  </si>
  <si>
    <t>21.4</t>
  </si>
  <si>
    <t>Servicio de recuperación de cuerpos de agua lénticos y lóticos</t>
  </si>
  <si>
    <t>Bosque ripario recuperado</t>
  </si>
  <si>
    <t>0312 - 5 - 1 3 10 21 68 - 20
0312 - 5 - 1 3 10 21 68 - 88
0312 - 5 - 3 1 1 1 3 10 68 - 20</t>
  </si>
  <si>
    <t>201663000-0068</t>
  </si>
  <si>
    <t>Aplicación de mecanismos de protección ambiental en el Departamento del Quindío.</t>
  </si>
  <si>
    <t xml:space="preserve">Mantener  de la oferta hídrica promedio anual  de las Unidades de Manejo de Cuenca (UMC) del departamento del Quindío 
</t>
  </si>
  <si>
    <t>Potencializar  el Sistema Departamental y municipal de áreas protegidas.</t>
  </si>
  <si>
    <t>Vigilancia, control y seguimiento a las áreas de protección</t>
  </si>
  <si>
    <t>21.7</t>
  </si>
  <si>
    <t>Adquisición, Mantenimiento y Administración de áreas de importancia estratégica para la conservación y regulación del recurso hídrico.</t>
  </si>
  <si>
    <t xml:space="preserve">Numero de Hectáreas intervenidas </t>
  </si>
  <si>
    <t>Apoyo en asesoría y asistencia técnica en la formulación, estructuración e implementación de proyectos Administración de áreas de importancia estratégica para la conservación y regulación del recurso hídrico.</t>
  </si>
  <si>
    <t>Apoyo en asesoría y asistencia técnica en la formulación, estructuración e implementación de proyectos jurídicos y administrativos de los procesos de gestión de áreas de importancia estratégica para la conservación y regulación del recurso hídrico.</t>
  </si>
  <si>
    <t>Apoyo en la operativización e implementación de proyectos de mantenimiento y administración de áreas de importancia estratégica para la conservación y regulación del recurso hídrico.</t>
  </si>
  <si>
    <t>21.5</t>
  </si>
  <si>
    <t xml:space="preserve">Estrategia  Departamental para la protección y bienestar de los animales domésticos y silvestres del Departamento </t>
  </si>
  <si>
    <t>Estrategia  para la protección y bienestar de los animales domésticos y silvestres adoptada</t>
  </si>
  <si>
    <t>0312 - 5 - 1 3 10 21 19 - 88</t>
  </si>
  <si>
    <t>202000363-0019</t>
  </si>
  <si>
    <t>Apoyo a la generación de entornos  amigables para nuestros animales en el departamento del Quindío.</t>
  </si>
  <si>
    <t>Implementar estrategias Departamentales para la protección y bienestar de los animales domésticos y silvestres</t>
  </si>
  <si>
    <t>Fortalecer el acompañamiento Departamental en Campañas para la fauna silvestre y Domestica.
Apoyar en asesoría y asistencia técnica en la formulación, estructuración e implementación de Estrategia para la protección y bienestar de los animales domésticos y silvestres.</t>
  </si>
  <si>
    <t>Apoyo en asesoría y asistencia técnica en la formulación, estructuración e implementación de Estrategia para la protección y bienestar de los animales domésticos y silvestres adoptada</t>
  </si>
  <si>
    <t>Apoyo en asesoría y asistencia técnica en la operativización de las campañas de fauna silvestre y domestica</t>
  </si>
  <si>
    <t>21.6</t>
  </si>
  <si>
    <t>Realizar  campaña  de sensibilización y apropiación del patrimonio ambiental en el departamento</t>
  </si>
  <si>
    <t>Campaña  de sensibilización y apropiación del patrimonio ambiental realizada</t>
  </si>
  <si>
    <t>0312 - 5 - 1 3 10 21 69 - 20
0312 - 5 - 1 3 10 21 69 - 88
0312 - 5 - 1 3 10 23 69 - 20
0312 - 5 - 1 3 10 23 69 - 88
0312 - 5 - 3 1 1 1 3 10 69 - 20</t>
  </si>
  <si>
    <t>201663000-0069</t>
  </si>
  <si>
    <t>Fortalecimiento  y potencialización de los servicios ecosistémicos en el Departamento del Quindío.</t>
  </si>
  <si>
    <t xml:space="preserve">Disminuir en la presión por cargas contaminantes, medida por el Índice de Alteración Potencial de la Calidad del Agua </t>
  </si>
  <si>
    <t xml:space="preserve">Mejorar en la calidad del agua en los sistemas hídricos  </t>
  </si>
  <si>
    <t>Desarrollar estrategias de educación ambiental para el desarrollo sostenible</t>
  </si>
  <si>
    <t>prestación de servicio de apoyo a la gestión para los procesos de educación y apropiación del patrimonio ambiental</t>
  </si>
  <si>
    <t>Adquisición de material para la difusión, educación y capacitación.</t>
  </si>
  <si>
    <t>Gestión de la información y el conocimiento ambiental. "Tú y yo conscientes con la naturaleza"</t>
  </si>
  <si>
    <t>22.1</t>
  </si>
  <si>
    <t>Servicio de apoyo financiero a emprendimientos</t>
  </si>
  <si>
    <t xml:space="preserve">Emprendimientos apoyados </t>
  </si>
  <si>
    <t>0312 - 5 - 1 3 10 22 20 - 88</t>
  </si>
  <si>
    <t>202000363-0020</t>
  </si>
  <si>
    <t xml:space="preserve">Apoyo a nuevos modelos de vida sostenibles, sustentables y eficientes en el suelo rural y urbano en el Departamento del Quindío. </t>
  </si>
  <si>
    <t>Apoyar competencias administrativas, organizacionales, mercados, extensión, planes de negocio, coordinación interinstitucional en proyectos con prácticas sostenibles asociadas a producción limpia, la agricultura orgánica y la ganadería sostenible.</t>
  </si>
  <si>
    <t xml:space="preserve">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
Formular e implementar Proyectos para el fomento de la cultura de asociatividad, que permitan consolidar procesos de autogestión, perspectiva de género, étnico y relevo generacional y sostenibilidad organizacional.
Gestionar y fortalecer una red de Estaciones meteorológicas que permita a las instituciones del departamento tener información en tiempo real sobre la variabilidad climática en el Quindío y generar una respuesta temprana a los eventos que se presente en las diferentes áreas vulnerables.
Gestionar la articulación de la red de Estaciones meteorológicas agroambientales del Quindío, que permita tener información sobre la variabilidad climática en el Quindío.
</t>
  </si>
  <si>
    <t>Apoyo en asesoría y asistencia técnica en la identificación, formulación e implementación de proyectos de Emprendimientos Verdes.</t>
  </si>
  <si>
    <t>Suministro de bienes y servicios para el Apoyo en la implementación de proyectos de Emprendimientos Verdes.</t>
  </si>
  <si>
    <t>Ordenamiento Ambiental Territorial. "Tú y yo planificamos con sentido ambiental"</t>
  </si>
  <si>
    <t>23.3</t>
  </si>
  <si>
    <t>Obras para estabilización de taludes</t>
  </si>
  <si>
    <t>Obras para estabilización de taludes realizadas</t>
  </si>
  <si>
    <t>Acciones orientadas a estabilizar los taludes cuando la obra se ve afectadas por fallas o movimientos de tierra.</t>
  </si>
  <si>
    <t>Estructuración  de proyectos de Obras para estabilización de taludes.(bioingeniería)</t>
  </si>
  <si>
    <t>Gestión del cambio climático para un desarrollo bajo en carbono y resiliente al clima. "Tú y yo preparados para el cambio climático"</t>
  </si>
  <si>
    <t>24.2</t>
  </si>
  <si>
    <t>Servicio de producción de plántulas en viveros</t>
  </si>
  <si>
    <t>Plántulas producidas</t>
  </si>
  <si>
    <t>0312 - 5 - 1 3 10 24 21 - 88</t>
  </si>
  <si>
    <t>202000363-0021</t>
  </si>
  <si>
    <t>Implementación de acciones de Gestión del Cambio Climático en el marco del PIGCC.</t>
  </si>
  <si>
    <t>Promover y desarrollar estrategias que garanticen la conservación, protección, recuperación y gestión sostenible de la estructura ecológica
del Departamento, con énfasis en la conservación y uso del recurso hídrico y la biodiversidad</t>
  </si>
  <si>
    <t>Apoyar a las iniciativas de educación, restauración y recuperación ecológica en diferentes áreas del departamento.</t>
  </si>
  <si>
    <t>Adelantar los estudios y diseños necesarios para la instalación y puesta en
marcha de un vivero de especies nativas</t>
  </si>
  <si>
    <t>JULIO CÉSAR CORTÉS PULIDO</t>
  </si>
  <si>
    <t>Secretario de Agricultura, Desarrollo Rural y Medio Ambiente</t>
  </si>
  <si>
    <t>SEGUIMIENTO PLAN DE ACCIÓN
PROMOTORA DE VIVIENDA Y DESARROLLO DEL QUINDIO 
DICIEMBRE  30   DE   2020</t>
  </si>
  <si>
    <t>CODIGO INTERNO DE LA META</t>
  </si>
  <si>
    <t>META FISICA</t>
  </si>
  <si>
    <t>ACTIVIDADES</t>
  </si>
  <si>
    <t>INCLUSION SOCIAL Y EQUIDAD</t>
  </si>
  <si>
    <t>Fomento a la recreación, la actividad física y el deporte. "Tú y yo en la recreación y el deporte"</t>
  </si>
  <si>
    <t>PENDIENTE DNP</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</si>
  <si>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</si>
  <si>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</si>
  <si>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 xml:space="preserve">0211101_4
</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</si>
  <si>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</si>
  <si>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</si>
  <si>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</si>
  <si>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Desarrollo de Programas y Proyectos, en los componentes de vivienda, infraestructura, equipamiento colectivo y comunitario.</t>
  </si>
  <si>
    <t>Construcción, mejoramiento y/o rehabilitación de la infraestructura de escenarios deportivos y/o recreativos.</t>
  </si>
  <si>
    <t>Estampilla Prodesarrollo</t>
  </si>
  <si>
    <t>Gerente</t>
  </si>
  <si>
    <t>Calidad, cobertura y fortalecimiento de la educación inicial, prescolar, básica y media." Tú y yo con educación y de calidad"</t>
  </si>
  <si>
    <t xml:space="preserve">Infraestructura  de Instituciones Educativas  con procesos   Constructivos ,  y/o Mejorados, y/o Ampliados, y/o Mantenidos, Y/o  Reforzados </t>
  </si>
  <si>
    <t xml:space="preserve">Infraestructura  de Instituciones Educativas   construída y/o Mejorada, y/o Ampliada, y/o Mantenida, Y/o  Reforzada </t>
  </si>
  <si>
    <t>0211101_4
0211102_3</t>
  </si>
  <si>
    <t>Mantener, mejorar y/o rehabilitar la Infraestructura instituciones educativas en el departamento del Quindío.</t>
  </si>
  <si>
    <t>Impuesto al Registro 6%</t>
  </si>
  <si>
    <t xml:space="preserve"> TERRITORIO, AMBIENTE Y DESARROLLO SOSTENIBLE</t>
  </si>
  <si>
    <t>Infraestructura red vial regional. "Tú y yo con movilidad vial"</t>
  </si>
  <si>
    <t>Infraestructura   vial  con procesos  de construcción, mejoramiento, ampliación, mantenimiento y/o  Reforzamiento.</t>
  </si>
  <si>
    <t>Infraestructura vial construida, mejorada, ampliada, mantenida, y/o reforzada.</t>
  </si>
  <si>
    <t>0211102_3</t>
  </si>
  <si>
    <t>Mantener, mejorar y/o rehabilitar la infraestructura y vial del departamento</t>
  </si>
  <si>
    <t>Acceso a soluciones de vivienda. "Tú y yo con vivienda digna"</t>
  </si>
  <si>
    <t>4001001</t>
  </si>
  <si>
    <t xml:space="preserve">Servicio de asistencia técnica y jurídica en saneamiento y titulación de predios </t>
  </si>
  <si>
    <t>Entidades territoriales asistidas técnica y jurídicamente</t>
  </si>
  <si>
    <t>Asistencia técnica y jurídica a entidades territoriales en saneamiento, titulación de predios y formulacio de proyectos</t>
  </si>
  <si>
    <t>4001014</t>
  </si>
  <si>
    <t xml:space="preserve">Viviendas de Interés Prioritario urbanas costruidas </t>
  </si>
  <si>
    <t>Viviendas de Interés Prioritario urbanas construidas</t>
  </si>
  <si>
    <t>Mejoramiento y/o construcción de vivienda urbana y rural.</t>
  </si>
  <si>
    <t>4001015</t>
  </si>
  <si>
    <t xml:space="preserve">Viviendas de Interés Prioritario urbanas mejoradas </t>
  </si>
  <si>
    <t>Viviendas de Interés Prioritario urbanas mejoradas</t>
  </si>
  <si>
    <t>4001030</t>
  </si>
  <si>
    <t>Estudios de pre inversión e inversión</t>
  </si>
  <si>
    <t xml:space="preserve">Estudios o diseños realizados </t>
  </si>
  <si>
    <t>Estudios y diseños para la extructuracion de proyectos</t>
  </si>
  <si>
    <t xml:space="preserve">Infraestructura Institucional de Edificios Públicos de atención de servicios ciudadanos con procesos Costructivos, y/o Mejorados, y/o Ampliados, y/o Mantenidos y/o Reforzados </t>
  </si>
  <si>
    <t>Infraestructura  Institucional o Edificios Públicos   construida y/o Mejorada, y/o Ampliada, y/o Mantenida, Y/o  Reforzada</t>
  </si>
  <si>
    <t>Construcción, mantenimiento, mejoramiento y/o la rehabilitación de la infraestructura de equipamientos públicos y colectivos.</t>
  </si>
  <si>
    <t>PROGRAMACIÓN PLAN DE ACCIÓN 
IDTQ
DICIEMBRE 31 2020</t>
  </si>
  <si>
    <t>Seguridad de Transporte. "Tú y yo seguros en la vía"</t>
  </si>
  <si>
    <t>19.1</t>
  </si>
  <si>
    <t>Formular e Implementar una estrategia de movilidad saludable, segura y sostenible.</t>
  </si>
  <si>
    <t xml:space="preserve">Estrategia de movilidad saludable, segura y sostenible  formulada e implementada </t>
  </si>
  <si>
    <t>23010104230101_1
23010104230102_1</t>
  </si>
  <si>
    <t>201663000-0172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</si>
  <si>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</si>
  <si>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</si>
  <si>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</si>
  <si>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institucional de disminución de la accidentalidad en las vias</t>
  </si>
  <si>
    <t>23</t>
  </si>
  <si>
    <t>Otros recursos (Propios de  IDTQ)</t>
  </si>
  <si>
    <t>IDTQ</t>
  </si>
  <si>
    <t xml:space="preserve">Estrategia de movilidad saludable, segura y sostenible   implementada </t>
  </si>
  <si>
    <t>19.2</t>
  </si>
  <si>
    <t>Formular e Implementar un programa de formación en normas de tránsito y fomento de cultura  de la seguridad en la vía.</t>
  </si>
  <si>
    <t>Programa de formación cultural  de la seguridad en la vía formulado e implementado.</t>
  </si>
  <si>
    <t>Implementación del Programa "Tu y yo por la seguridad vial", en el Departamento del Quindio.</t>
  </si>
  <si>
    <t>Programa de formación cultural  de la seguridad en la vía implementado.</t>
  </si>
  <si>
    <t>19.3</t>
  </si>
  <si>
    <t>Formular e Implementar un programa de control, prevención y atención del tránsito y el transporte en los municipios y vías de jurisdicción del IDTQ.</t>
  </si>
  <si>
    <t>Programa de control y atención del tránsito y el transporte formulado e implementado</t>
  </si>
  <si>
    <t>Programa de control y atención del tránsito y el transporte implementado</t>
  </si>
  <si>
    <t>19.4</t>
  </si>
  <si>
    <t>Diseñar e Implementar un programa de señalización y demarcación en los municipios y vías de jurisdicción del IDTQ.</t>
  </si>
  <si>
    <t>Programa de Señalización y demarcación en los municipios y vías de jurisdicción del IDTQ diseñado e Implementado</t>
  </si>
  <si>
    <t>Programa de Señalización y Demarcación en los municipios y vías de jurisdicción del IDTQ Implementado</t>
  </si>
  <si>
    <t>DEBBIE DUQUE BURGOS</t>
  </si>
  <si>
    <t>Directora Instituto Departamental de Tránsito del Quindío (IDTQ)</t>
  </si>
  <si>
    <t>SEGUIMIENTO PLAN DE ACCIÓN
SECRETARIA DE FAMILIA
DICIEMBRE  31   DE   2020</t>
  </si>
  <si>
    <t>CODIGO INTERNA
META</t>
  </si>
  <si>
    <t>INCLUSION SOCIAL</t>
  </si>
  <si>
    <t>Salud Pública, "Tú y yo con salud de calidad"</t>
  </si>
  <si>
    <t>1905021</t>
  </si>
  <si>
    <t xml:space="preserve">Servicio de gestión del riesgo en temas de salud sexual y reproductiva </t>
  </si>
  <si>
    <t>Campañas de gestión del riesgo en temas de salud sexual y reproductiva implementadas.</t>
  </si>
  <si>
    <t>0316 - 5 - 1 1 2 12 25 - 20
0316 - 5 - 1 1 2 12 25 - 88</t>
  </si>
  <si>
    <t>202000363-0025</t>
  </si>
  <si>
    <t>Diseño e implementación de campañas para la promoción de la vida y prevención del consumo de sustancias psicoactivas "TU Y YO UNIDOS POR LA VIDA".</t>
  </si>
  <si>
    <t>Fomentar hábitos de vida saludable y derechos sexuales y reproductivos</t>
  </si>
  <si>
    <t>*Campañas de prevención y promoción orientadas a la salud sexual y reproductiva y la salud mental
*Fomento de estrategias de prevención y mitigación del consumo de SPA</t>
  </si>
  <si>
    <t xml:space="preserve">Diseñar e implementar una estrategia de prevención del riesgo y promoción de la salud sexual y reproductiva con enfoque diferencial </t>
  </si>
  <si>
    <t xml:space="preserve">Secretaría de Familia </t>
  </si>
  <si>
    <t>Diseñar e implementar campañas de promoción de la salud mental y arraigo por la vida</t>
  </si>
  <si>
    <t>Alianzas intersectoriales para la prevención y promoción de la salud sexual y reproductiva y salud mental</t>
  </si>
  <si>
    <t>Superavit recurso ordinario</t>
  </si>
  <si>
    <t>Servicio de gestión del riesgo en temas de trastornos mentales</t>
  </si>
  <si>
    <t>Campañas de gestión del riesgo en temas de trastornos mentales implementadas</t>
  </si>
  <si>
    <t>Diseño, implementación y seguimiento de una estrategia de prevencion y mitigación del consumo de SPA en el departamento del Quindío</t>
  </si>
  <si>
    <t>Consolidación de redes de apoyo para la prevención y/o mitigación de consumo de SPA</t>
  </si>
  <si>
    <t>Pendón,plegables. Folletos, manillas, cartillas, etc</t>
  </si>
  <si>
    <t>Refrigerios, logística y sonido</t>
  </si>
  <si>
    <t>Promoción y acceso efectivo a procesos culturales y artísticos. "Tú y yo somos cultura Quindiana"</t>
  </si>
  <si>
    <t>Servicio de educación informal al sector artístico y cultural</t>
  </si>
  <si>
    <t>Capacitaciones de educación informal realizadas</t>
  </si>
  <si>
    <t>0316 - 5 - 1 1 5 25 110 - 20
0316 - 5 - 1 1 14 36 110 - 20
0316 - 5 - 1 1 14 37 110 - 88
0316 - 5 - 3 1 3 17 60 14 110 - 20</t>
  </si>
  <si>
    <t>201663000-0110</t>
  </si>
  <si>
    <t>Desarrollo de acciones encaminadas a la atención integral  de los adolescentes y jóvenes del Departamento del Quindío</t>
  </si>
  <si>
    <t>Desarrollar procesos efectivos de atención, generación de impacto, oferta pública y garantía de derechos.</t>
  </si>
  <si>
    <t>Alta articulación entre los entes gubernamentales y privados para realizar el seguimiento de la matriz de planificación de la política pública de juventud del depto.</t>
  </si>
  <si>
    <t>Articulación interinstitucional para el uso del arte, la cultura, el deporte y la recreación como instrumentos de promoción y prevención</t>
  </si>
  <si>
    <t xml:space="preserve">Apoyo y seguimiento a los indicadores de cumplimiento del plan de accion de la politica publica de juventud </t>
  </si>
  <si>
    <t xml:space="preserve">Capacitaciones, socialización y conformación de espacios de participación juvenil </t>
  </si>
  <si>
    <t>Desarrollo de acciones dispuestas a la implementacion de la politica de juventud, en los componentes de responsabilidad de la oficina de juventud</t>
  </si>
  <si>
    <t>Realizar actividades de prevención para adolescentes y jóvenes en riesgo social y/o vinculados a la Ley de responsabilidad  penal</t>
  </si>
  <si>
    <t>Apoyo y seguimientoa los procesos de coordinación del sistema de responsabilidad penal</t>
  </si>
  <si>
    <t>Desarrollo Integral de Niños, Niñas, Adolescentes y sus Familias. "Tú y yo niños, niñas y adolescentes con desarrollo integral"</t>
  </si>
  <si>
    <t xml:space="preserve">Diseñar e implementar un Modelo de atención integral en entornos protectores para la primera infancia </t>
  </si>
  <si>
    <t>Modelo de atención integral de entornos protectores implementado</t>
  </si>
  <si>
    <t>0316 - 5 - 1 1 14 36 102 - 20
0316 - 5 - 1 1 14 36 102 - 88
0316 - 5 - 3 1 3 16 56 14 102 - 20</t>
  </si>
  <si>
    <t>201663000-0102</t>
  </si>
  <si>
    <t>Implementación de un modelo de atención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</si>
  <si>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</si>
  <si>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</si>
  <si>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</si>
  <si>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Seguimiento y evaluación del Modelo de Atención a Madres Gestantes y Desarrollo Infantil en ambientes familiares y grupales</t>
  </si>
  <si>
    <t xml:space="preserve">Implementar y realizar seguimiento a las Rutas Integrales de Atención </t>
  </si>
  <si>
    <t xml:space="preserve">Numero de rutas integrales de atención  a la  primera infancia implementadas y con seguimiento </t>
  </si>
  <si>
    <t>Seguimiento a las 6 rutas implementadas en los municipios priorizados por la nación (Armenia, Buenavista, Circasia, Pijao, Quimbaya y La Tebaida)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</si>
  <si>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</si>
  <si>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</si>
  <si>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Prestar asistencia técnica a las Rutas Implementadas en los Municipios, para la adecuada implementación de las RIAS.</t>
  </si>
  <si>
    <t>Consolidar redes familiares, sociales, comunitarias e institucionales para la protección de la infancia.</t>
  </si>
  <si>
    <t>Formación de formadores para la adecuada implementación de las redes protectoras para niños y niñas de la primera infancia.</t>
  </si>
  <si>
    <t>Monitoreo y evaluación de las redes familiares, sociales, comunitarias e institucionales consolidadas</t>
  </si>
  <si>
    <t>36.8</t>
  </si>
  <si>
    <t xml:space="preserve">Implementar la  Política Pública para la Protección, el Fortalecimiento y el Desarrollo Integral de la Familia Quindiana </t>
  </si>
  <si>
    <t>Política Pública de Familia  implementada</t>
  </si>
  <si>
    <t>0316 - 5 - 1 1 16 36 103 - 20
0316 - 5 - 1 1 16 36 103 - 88
0316 - 5 - 3 1 3 17 58 14 103 - 20</t>
  </si>
  <si>
    <t>201663000-0103</t>
  </si>
  <si>
    <t>Formulación e implementación de  la politica pública  de la familia en el departamento del Quindío.</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</si>
  <si>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</si>
  <si>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</si>
  <si>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Apoyar con el seguimiento al Plan de Acción de la Politica Publica  de Familia</t>
  </si>
  <si>
    <t>Apoyar con el seguimiento,  monitoreo y evaluación de la política publica de familia</t>
  </si>
  <si>
    <t xml:space="preserve">Diseñar y desarrollar estrategias, programas y/o proyectos para la protección y fortalecimiento de las familias del departamento </t>
  </si>
  <si>
    <t>Logistica operativa, Transporte sonido, refrigerios, Publicidad, Volantes, pendones, afiches, manillas, etc.</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</si>
  <si>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</si>
  <si>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</si>
  <si>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</si>
  <si>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político publica de familia</t>
  </si>
  <si>
    <t>Revisar, ajustar e implementar  la Política Pública de Primera Infancia, Infancia y Adolescencia</t>
  </si>
  <si>
    <t xml:space="preserve">Política Pública de Primera Infancia, Infancia y Adolescencia, revisada, ajustada e implementada. </t>
  </si>
  <si>
    <t>0316 - 5 - 1 1 14 36 109 - 20
0316 - 5 - 1 1 14 36 109 - 88
0316 - 5 - 3 1 3 17 59 14 109 - 20</t>
  </si>
  <si>
    <t>201663000-0109</t>
  </si>
  <si>
    <t>Implementación de la política de primera infancia, infancia y adolescencia en el Departamento del Quindío</t>
  </si>
  <si>
    <t xml:space="preserve">Implementar la política pública que garantice los derechos de los niños, niñas y adolescentes del depto. del Quindío. </t>
  </si>
  <si>
    <t>Eficiencia en la articulación Interinstitucional que garantice un seguimiento efectivo del cumplimiento del plan de acción de la política publica de infancia y adolescencia</t>
  </si>
  <si>
    <t>Revisar y reformular  la Politica Publica  de primera infancia, infancia y adolescencia del departamento</t>
  </si>
  <si>
    <t>Apoyar con el seguimiento al Plan de Acción de la Politica Publica  de primera infancia, infancia y adolescencia del departamento</t>
  </si>
  <si>
    <t>Apoyo en los espacios de participación tales como: Consejo de Politica Social, Comite Departamental e Interinstitucional  para la Primera Infancia, Infancia y Adolescencia y Familia, CIETI, Mesa de Paticipación de NiÑos, Niñas y Adolescentes</t>
  </si>
  <si>
    <t>Apoyo a programas que conlleven a la  implementación de la Politica publica de primera infancia, infancia y adolescencia en el Departamento del Quindio</t>
  </si>
  <si>
    <t>Brindar asistencia tecnica a los municipios del departamento, que así lo requieran en temas relacionados con el seguimiento e implementación de la politica publica de primera infancia, infancia y adolescencia del departamento</t>
  </si>
  <si>
    <t>Logistica operativa, sonido, refrigerios, Publicidad, Volantes, pendones, afiches, manillas, etc.</t>
  </si>
  <si>
    <t>Apoyo al Comite de  Primera Infancia, Infancia y Adolescencia y al Consejo de Politica Social</t>
  </si>
  <si>
    <t>Apoyo en la revisión juridica en los temas relacionados con la implementacion de la politica publica de primera infancia, infancia y adolescencia del departamento</t>
  </si>
  <si>
    <t>Apoyar la Implementación de una estrategia de prevencion de embarazos y segundos embarazos a temprana edad</t>
  </si>
  <si>
    <t>Realizar jornadas pedagogicas de prevencion en las Instituciones educativas del depto</t>
  </si>
  <si>
    <t>Apoyar la articulación intersectorial, a través de mesas de trabajo en pro de la prevencion de los embarazos en adolescentes y segundos embarazos a temprana edad.</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</si>
  <si>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</si>
  <si>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</si>
  <si>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 xml:space="preserve">Implementar  la Política Pública de Juventud </t>
  </si>
  <si>
    <t>Política Pública de Juventud implementada</t>
  </si>
  <si>
    <t>Revisión, ajuste e implementación de la Política Pública de Juventud</t>
  </si>
  <si>
    <t xml:space="preserve">Seguimiento a los indicadores de cumplimiento del plan de accion de la politica publica de juventud </t>
  </si>
  <si>
    <t>Fomento y fortalecimiento de organizaciones de base social para la participación y empoderamiento juvenil</t>
  </si>
  <si>
    <t xml:space="preserve">Dinamización de espacios para la participación juvenil </t>
  </si>
  <si>
    <t>ADQUISICION DE BIENES Y SERVICIOS: Logistica operativa,  refrigerios, sonido, ferreteria, etc</t>
  </si>
  <si>
    <t>Volantes, pendones, afiches, manillas, etc.</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</si>
  <si>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</si>
  <si>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</si>
  <si>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0316 - 5 - 1 1 18 36 26 - 88
0316 - 5 - 1 1 18 37 26 - 88</t>
  </si>
  <si>
    <t>202000363-0026</t>
  </si>
  <si>
    <t>Diseño e implementación de programa de acompañamiento familiar y comunitario con enfoque preventivo en los tipos de violencias en el Departamento del Quindío. "TU Y YO COMPROMETIDOS CON LA FAMILIA"</t>
  </si>
  <si>
    <t>Fortalecer la convivencia del entorno familiar y social en el Departamento del Quindío</t>
  </si>
  <si>
    <t>*Socialización, promoción e implementación, de las rutas integrales de atención en violencia intrafamiliar y de género en el departamento del quindío
*Implementación de un programa de acompañamiento familiar para fortalecer vinculos familiares</t>
  </si>
  <si>
    <t>Articulación con Gremios (comerciantes y taxistas) para la socialización, promoción e implementación de las Rutas Integrales de Atención en Violencia Intrafamilair y de Género</t>
  </si>
  <si>
    <t xml:space="preserve">Socialización y promoción de Rutas Integrales de Atención en Violencia Intrafamiliar y de Género </t>
  </si>
  <si>
    <t>Servicio de divulgación para la promoción y prevención de los derechos de los niños, niñas y adolescentes</t>
  </si>
  <si>
    <t xml:space="preserve">Eventos de divulgación realizados </t>
  </si>
  <si>
    <t>0316 - 5 - 1 1 14 36 27 - 20
0316 - 5 - 1 1 14 36 27 - 88
0316 - 5 - 1 2 14 29 27 - 88</t>
  </si>
  <si>
    <t>202000363-0027</t>
  </si>
  <si>
    <t>Diseño e implementación de programa comunitario para la prevención de los derechos de Niños, Niñas y Adolescentes y su desarrollo integral. "TU Y YO COMPROMETIDOS CON LOS SUEÑOS".</t>
  </si>
  <si>
    <t>Promover y proteger los derechos de los niños, niñas y adolescentes  y prevenir su vulneración</t>
  </si>
  <si>
    <t>*Fomento de estrategias y acciones de  promoción y prevención
*Desarrollo de programas para la garantía de derechos de los nna
*Estrategias de protección para  los NN implementadas</t>
  </si>
  <si>
    <t>Diseño de estrategia para la protección de los NN</t>
  </si>
  <si>
    <t>Articulación interinstitucional para el desarrollo de la estrategia para la protección de los NN</t>
  </si>
  <si>
    <t>Dotación de espacios socialmente no convencionales: tiempos no convencionales</t>
  </si>
  <si>
    <t xml:space="preserve">Implementación de estrategia de protección para los NN </t>
  </si>
  <si>
    <t>Articulación interinstitucional para la garantía de Derechos de NNA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</si>
  <si>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</si>
  <si>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</si>
  <si>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0316 - 5 - 1 1 18 36 28 - 88</t>
  </si>
  <si>
    <t>202000363-0028</t>
  </si>
  <si>
    <t>Atención Post egreso de adolescentes y jóvenes, en los servicios de restablecimiento en la administración de justicia, con enfoque pedagógico y restaurativo encaminados a la inclusión social del Departamento del Quindío .</t>
  </si>
  <si>
    <t>Prevenir el delito, fomentar la inclusión de adolescentes egresados del SRPA y evitar la reincidencia</t>
  </si>
  <si>
    <t xml:space="preserve">*Estrategias para la prevención del delito adolescente.
*Acciones orientadas a la promoción de egresos exitosos e inclusión de  jóvenes del SRPA 
*Procesos post egreso enfocados en la prevención de la reincidencia </t>
  </si>
  <si>
    <t>Canalizar oferta público-privada para la inclusión de adolescentes egresados del SRPA</t>
  </si>
  <si>
    <t>Seguimiento a los procesos de coordinación del sistema de responsabilidad penal</t>
  </si>
  <si>
    <t>Fomento, seguimiento y evaluación de estrategias para la prevención de la reincidencia al SRPA</t>
  </si>
  <si>
    <t>Inclusión social y productiva para la población en situación de vulnerabilidad. "Tú y yo, población vulnerable incluida"</t>
  </si>
  <si>
    <t>Servicio de asistencia técnica para fortalecimiento de unidades productivas colectivas para la generación de ingresos</t>
  </si>
  <si>
    <t>Unidades productivas colectivas con asistencia técnica</t>
  </si>
  <si>
    <t xml:space="preserve">Diseño e implementación, seguimiento y evaluación de estrategias para el fomento y fortalecimiento del emprendimiento y empleo juvenil </t>
  </si>
  <si>
    <t>Servicio de gestión de oferta social para la población vulnerable</t>
  </si>
  <si>
    <t xml:space="preserve">Mecanismos de articulación implementados para la gestión de oferta social </t>
  </si>
  <si>
    <t>0316 - 5 - 3 1 3 18 62 14 118 - 20</t>
  </si>
  <si>
    <t>201663000-0118</t>
  </si>
  <si>
    <t>Implementación del programa  para la atención y acompañamiento  del ciudadano migrante  y de repatriación en el Departamento del Quindío.</t>
  </si>
  <si>
    <t>Implementar el plan de acompañamiento al ciudadano migrante (el que sale y el que retorna).</t>
  </si>
  <si>
    <t>Existencia de planes de acompañamiento al ciudadano migrante del depto. del Quindío</t>
  </si>
  <si>
    <t>Formular e implementar el plan de acompañamiento al ciudadano migrante en el departamento del Quindío</t>
  </si>
  <si>
    <t>1.1.1. Procesos  de capacitación, asistencia técnica, seguimiento y evaluación en cuanto a la garantia de derechos de la población migrante del Departamento</t>
  </si>
  <si>
    <t>1.2.1  Apoyar el programa de asistencia social y de repatriación de quindianos fallecidos en el exterior</t>
  </si>
  <si>
    <t xml:space="preserve">Logistica operativa, refrigerios, sonido </t>
  </si>
  <si>
    <t>Servicio de acompañamiento familiar y comunitario para la superación de la pobreza</t>
  </si>
  <si>
    <t>Comunidades con acompañamiento familiar.</t>
  </si>
  <si>
    <t>Adopción de programa de acompañamiento familiar para fortalecer vínculos familiares</t>
  </si>
  <si>
    <t>Implementación, seguimiento y evaluación de programa de acompañamiento familiar</t>
  </si>
  <si>
    <t>37.3</t>
  </si>
  <si>
    <t>Servicio de apoyo para el fortalecimiento de unidades productivas colectivas para la generación de ingresos</t>
  </si>
  <si>
    <t>Unidades productivas colectivas fortalecidas</t>
  </si>
  <si>
    <t>0316 - 5 - 1 1 14 37 29 - 20
0316 - 5 - 1 1 14 37 29 - 88
0316 - 5 - 1 1 14 38 29 - 20
0316 - 5 - 1 1 14 38 29 - 88</t>
  </si>
  <si>
    <t>202000363-0029</t>
  </si>
  <si>
    <t>Atención integral a población en condición de discapacidad en los municipios del Departamento del Quindío. "TU Y YO JUNTOS EN LA INCLUSIÓN".</t>
  </si>
  <si>
    <t xml:space="preserve">Fortalecer la capacidad de los Municipios para la atención integral a población con discapacidad del Departamento del Quindío.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</si>
  <si>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</si>
  <si>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Fomentar y fortalecer la inclusión laboral y productiva de cuidadores, cuidadoras, PCD y sus Familias</t>
  </si>
  <si>
    <t>Fomentar el emprendimiento y el empleo para cuidadores y PCD en el Departamento</t>
  </si>
  <si>
    <t xml:space="preserve">Apoyar la construcción e Implementación de los  Planes de vida de los cabildos Indígenas asentados en el Departamento del Quindío </t>
  </si>
  <si>
    <t xml:space="preserve">Planes de vida de los cabildos indígenas  construidos  e implementados </t>
  </si>
  <si>
    <t xml:space="preserve">0316 - 5 - 1 1 14 37 30 - 20
0316 - 5 - 1 1 14 37 30 - 88
</t>
  </si>
  <si>
    <t>202000363-0030</t>
  </si>
  <si>
    <t>Apoyo en la construcción e Implementación de los Planes de vida de los Cabildos y Resguardos indígenas  asentados en el Departamento del Quindío. "TU Y YO UNIDOS CON DIGNIDAD".</t>
  </si>
  <si>
    <t>Apoyar  la elaboración y puesta en marcha  de planes de vida de las comunidades indígenas del departamento del Quindío</t>
  </si>
  <si>
    <t xml:space="preserve">*Formular e implementar los planes de vida de los cabildos indígenas del departamento del Quindío 
*Formular e implementar los planes de vida de los resguardos indígenas del departamento del Quindío </t>
  </si>
  <si>
    <t>Alianzas sociales y/o comunitarias con enfoque diferencial en los Cabildos  indígenas</t>
  </si>
  <si>
    <t>Formulación e Implementación de los Planes de Vida de los Cabildos Indígenas</t>
  </si>
  <si>
    <t xml:space="preserve">Apoyar la construcción e Implementación de los  Planes de vida de los resguardos indígenas  asentados en el Departamento del Quindío </t>
  </si>
  <si>
    <t xml:space="preserve">Planes de vida de los resguardos indígenas  construidos  e implementados </t>
  </si>
  <si>
    <t>Alianzas sociales y/o comunitarias con enfoque diferencial en los Resguardos indígenas</t>
  </si>
  <si>
    <t>Formulación e Implementación de los Planes de Vida de los Resguardos Indígenas</t>
  </si>
  <si>
    <t>Formular e implementar la política publica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</si>
  <si>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</si>
  <si>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0316 - 5 - 1 1 14 37 31 - 20
0316 - 5 - 1 1 14 37 31 - 88</t>
  </si>
  <si>
    <t>202000363-0031</t>
  </si>
  <si>
    <t xml:space="preserve">Formulación e implementación de la política publica para la comunidad negra, afrocolombiana, raizal y palenquera residente en el Departamento del Quindío. </t>
  </si>
  <si>
    <t>Garantizar la protección de derechos y la atención integral con enfoque diferencial de las comunidades afrodescendientes asentadas en el departamento del Quindío</t>
  </si>
  <si>
    <t>*Formulación, implementación, seguimiento y evaluación de la Política Pública NARP 
*Implementar alianzas interinstitucionales para la atención integral con enfoque diferencial a la población afro descendiente del Departamento del</t>
  </si>
  <si>
    <t>Formulación e implementación de la Política Pública NARP en el Departamento del Quindío</t>
  </si>
  <si>
    <t>Desarrollo de campañas y talleres relacionados con la promocion de derechos de poblacion NARP</t>
  </si>
  <si>
    <t>Capacitar personal de entidades públicos y privadas en los Derechos de la Población NARP</t>
  </si>
  <si>
    <t>Pendón,plegables. Folletos, manillas, etc</t>
  </si>
  <si>
    <t xml:space="preserve">Logistica operativa, refrigerios, sonido para celebracion de eventos </t>
  </si>
  <si>
    <t>Atención integral de población en situación permanente de desprotección social y/o familiar "Tú y yo con atención integral"</t>
  </si>
  <si>
    <t>4104035</t>
  </si>
  <si>
    <t>38.3</t>
  </si>
  <si>
    <t>Servicios de atención integral a población en condición de discapacidad</t>
  </si>
  <si>
    <t xml:space="preserve">Personas atendidas con servicios integrales de atención </t>
  </si>
  <si>
    <t>Fomentar y fortalecer un banco de ayudas Técnicas No Pos para personas con Discapacidad en el departamento del Quindío</t>
  </si>
  <si>
    <t xml:space="preserve">Estrategia de rehabilitación basada en la comunidad implementada en los municipios  </t>
  </si>
  <si>
    <t>Acompañamiento a  las personas con discapacidad,  familias y comunidad en la implementación del programa RBC</t>
  </si>
  <si>
    <t>Realizar  capacitaciones en agentes comunitarios en RBC</t>
  </si>
  <si>
    <t>Conformación y fortalecimiento a las redes de apoyo de la estrategia RBC</t>
  </si>
  <si>
    <t>4104026</t>
  </si>
  <si>
    <t>Servicio de articulación de oferta social para la población habitante de calle</t>
  </si>
  <si>
    <t xml:space="preserve">Servicio de articulación habitante de calle implementado en los municipios </t>
  </si>
  <si>
    <t>0316 - 5 - 1 1 14 38 32 - 88</t>
  </si>
  <si>
    <t>202000363-0032</t>
  </si>
  <si>
    <t xml:space="preserve"> Apoyo en  la articulación de la  oferta social para la población habitante de calle del Departamento del Quindío</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</si>
  <si>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</si>
  <si>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</si>
  <si>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Articulación con entes territoriales e interinstitucionales para la oferta, atención y acompañamiento al habitante de calle</t>
  </si>
  <si>
    <t>Implementar  la Política   Pública de Diversidad Sexual e Identidad de Género</t>
  </si>
  <si>
    <t>Política pública de diversidad sexual implementada.</t>
  </si>
  <si>
    <t>0316 - 5 - 1 1 14 38 125 - 20
0316 - 5 - 1 1 14 38 125 - 88
0316 - 5 - 3 1 3 18 65 14 125 - 20</t>
  </si>
  <si>
    <t>201663000-0125</t>
  </si>
  <si>
    <t>Fomulación e implementación de la politica pública  de diversidad sexual en el Departamento del Quindío</t>
  </si>
  <si>
    <t>Implementación de la política pública que garantice los derechos de las personas con diversidad sexual e identidad de género en el dpto. del Quindío.</t>
  </si>
  <si>
    <t>Establecer políticas claras para la inclusión social de la población LGTBI
Altos espacios de atención, formación y reflexión, orientados al fortalecimiento de los entornos  sociales y educativos respecto a las personas con diversidad sexual</t>
  </si>
  <si>
    <t>Implementacion del plan de accion  de la politica publica de diversidad sexual e identidad de genero</t>
  </si>
  <si>
    <t>Iimplementar, hacer seguimiento y evaluación a estrategias de formación para la disminución de todas las formas de discriminación por orientación sexual e identidad de género diverso</t>
  </si>
  <si>
    <t>Capacitar personal de entidades públicos y privadas en la atención con enfoque diferencial y subdiferencial OSIGD/LGBTI para la inclusión, protección y promoción de las personas de estos sectores</t>
  </si>
  <si>
    <t>Logistica operativa, refrigerios, sonido para celebracion de eventos relacionados con la equidad</t>
  </si>
  <si>
    <t>Desarrollar estrategias, programas y/o proyectos que promuevan la garantía de derechos a la poblacion sexualmente diversa</t>
  </si>
  <si>
    <t>Desarrollo programas, campañas, talleres relacionados con la promocion de derechos de poblacion LGTBI</t>
  </si>
  <si>
    <t xml:space="preserve">Revisar, ajustar e implementar la política pública de equidad de género para la mujer </t>
  </si>
  <si>
    <t>Política pública de la mujer y equidad de género revisada, ajustada e implementada.</t>
  </si>
  <si>
    <t>0316 - 5 - 1 1 16 38 128 - 20
0316 - 5 - 1 1 16 38 128 - 88
0316 - 5 - 3 1 3 18 66 14 128 - 20</t>
  </si>
  <si>
    <t>201663000-0128</t>
  </si>
  <si>
    <t>Implementación de la polìtica pùblica de equidad de género para la mujer en el Departamento del Quindìo</t>
  </si>
  <si>
    <t xml:space="preserve">Implementación de programas y proyectos institucionales para el acceso a las oportunidades Económicas sociales y culturales de mujeres en el departamento del Quindío </t>
  </si>
  <si>
    <t>Apropiación jurídica  por parte de la población e institucionalidad sobre las rutas de atención existentes.
Mejorar la articulación frente a la implementación de las políticas públicas de equidad y género</t>
  </si>
  <si>
    <t>Revisión y ajuste a la Política Pública de Equidad de Género para la Mujer</t>
  </si>
  <si>
    <t xml:space="preserve">Seguimiento al cumplimiento de los planes de acción de la Politica Publica de  Equidad de Género para la mujer
</t>
  </si>
  <si>
    <t xml:space="preserve">Fomento y fortalecimiento de organizaciones de base social para la participación y empoderamiento de mujeres
</t>
  </si>
  <si>
    <t xml:space="preserve">Desarrollo de actividades de impacto para la promocion de derechos y movilizacion social
</t>
  </si>
  <si>
    <t>Apoyo en la consolidacion de espacios de participacion a traves de la socializacion de la normatividad existente</t>
  </si>
  <si>
    <t>Fortalecimiento y/o apoyo a unidades productivas y/o proyectos de emprendemiento de mujeres</t>
  </si>
  <si>
    <t xml:space="preserve">Formular e implementar la Política Pública de Adulto Mayor </t>
  </si>
  <si>
    <t xml:space="preserve">Política Pública de Adulto Mayor  formulada e implementada </t>
  </si>
  <si>
    <t xml:space="preserve">0316 - 5 - 1 1 14 38 129 - 06
0316 - 5 - 1 1 14 38 129 - 20
0316 - 5 - 1 1 14 38 129 - 84
0316 - 5 - 1 1 14 38 129 - 88
0316 - 5 - 3 1 3 19 67 14 129 - 06
0316 - 5 - 3 1 3 19 67 14 129 - 20
</t>
  </si>
  <si>
    <t>201663000-0129</t>
  </si>
  <si>
    <t xml:space="preserve">Apoyo y bienestar integral a las personas mayores del Departamento del Quindío </t>
  </si>
  <si>
    <t>Altos índices de atención a los adultos mayores en el departamento del Quindío.</t>
  </si>
  <si>
    <t>Apoyar la elaboración, seguimiento y evaluación de los planes de acción de los municipios y depto. de la Política Publica de envejecimiento y vejez
Apoyar acciones que conlleven al conocimiento de la Ley 1276 del 2009: Nuevos Criterios de Atención Integral del Adulto  Mayor en los Centros Vida</t>
  </si>
  <si>
    <t>Formulación de la  política pública de Envejecimiento y vejez</t>
  </si>
  <si>
    <t>Apoyo  al  seguimiento de  la  ejecución presupuestal  de los recursos destinados   a la  política pública de Envejecimiento y vejez</t>
  </si>
  <si>
    <t>Desarrollar estrategias de vigilancia y control que permitan garantizar el cumplimiento y reconocimiento de los derechos de las personas mayores.</t>
  </si>
  <si>
    <t>Apoyar elseguimiento y evaluacion de los planes de accion de los municipios y depto de la Politica Publica de envejecimiento y vejez</t>
  </si>
  <si>
    <t>Realizar motivación e infundir  sentido de pertenencia y compromiso de parte del Consejo Departamental del  adulto mayor</t>
  </si>
  <si>
    <t xml:space="preserve">Apoyar elseguimiento y evaluacion de los planes de accion de los municipios y depto de la Politica Publica de envejecimiento y vejez
</t>
  </si>
  <si>
    <t xml:space="preserve">Apoyar asistencias técnicas grupales a los grupos de adultos mayores del depto, en deporte, cultura, recreación y motivación </t>
  </si>
  <si>
    <t>Servicios de atención y protección integral al adulto mayor</t>
  </si>
  <si>
    <t xml:space="preserve">Adultos mayores atendidos con servicios integrales </t>
  </si>
  <si>
    <t>Dinamización del Cabildo Departamental de Sabios del Quindío y asistencia técnica cabildos Municiaples</t>
  </si>
  <si>
    <t xml:space="preserve">
Apoyar con actividades para la  creacion del cabildo de adulto mayoren en 6 municipios del Quindio</t>
  </si>
  <si>
    <t>Dinamización  del Consejo Departamental del  adulto mayor</t>
  </si>
  <si>
    <t xml:space="preserve">Realizar acompañamiento a los grupos de adultos mayores del depto,a través de deporte, cultura, recreación y motivación </t>
  </si>
  <si>
    <t>Celebraciones y eventos donde se resalte la importancia del rol del adulto mayor y su trayectoria de vida en la familia y la sociedad</t>
  </si>
  <si>
    <t>Logística Operativa, Sonido, refrigerios, Etc</t>
  </si>
  <si>
    <t>Transferencia estampilla para el bienestar del adulto mayor</t>
  </si>
  <si>
    <t>Municipios con recursos transferidos con la estampilla Departamental para el bienestar del adulto mayor</t>
  </si>
  <si>
    <t xml:space="preserve">Fortalecimiento a los CPSAM y CV del Departamento del Quindío </t>
  </si>
  <si>
    <t xml:space="preserve">Apoyar el seguimiento a la ejecución del recurso estampilla pro adulto mayor a los Centros Vida  y a los CBA    </t>
  </si>
  <si>
    <t>CENTROS VIDA (DV)</t>
  </si>
  <si>
    <t>Centros de Binestar del Adulto Mayor (CBA)</t>
  </si>
  <si>
    <t>Revisar, ajustar e implementar  la Política Pública de  Discapacidad</t>
  </si>
  <si>
    <t xml:space="preserve">Política Pública de  Discapacidad  revisada, ajustada e implementada. </t>
  </si>
  <si>
    <t>0316 - 5 - 1 1 14 38 114 - 20
0316 - 5 - 1 1 14 38 114 - 88
0316 - 5 - 3 1 3 17 61 14 114 - 20</t>
  </si>
  <si>
    <t>201663000-0114</t>
  </si>
  <si>
    <t>Actualización e implementación  de   la política pública departamental de discapacidad  "Capacidad sin limites" en el Quindío.</t>
  </si>
  <si>
    <t xml:space="preserve">Aumentar los niveles de representatividad e incidencia de las personas con discapacidad en escenarios de participación social y política en el Departamento.  </t>
  </si>
  <si>
    <t>Realizar acciones para  el  seguimiento al Plan de Acción de los CMD – Ejes de la Política Pública
Procesos de  fortalecimiento en la cultura organizacional  del sector público y privado</t>
  </si>
  <si>
    <t xml:space="preserve">Formación de cuidadores para el adecuado manejo de la Discapacidad a Cuidadoras, Cuidadores y Familias </t>
  </si>
  <si>
    <t>Servicio de Intérpretes de lengua de señas que permita la inclusión y acceso de las personas con discapcidad.</t>
  </si>
  <si>
    <t xml:space="preserve">Elaboración ,seguimiento y evaluacion de los planes de accion de los municipios y depto de la Politica Publica de discapacidad.
</t>
  </si>
  <si>
    <t>Asistencia técnica a los municipios para la adecuada apropiación de la Política Pública de Discapacidad</t>
  </si>
  <si>
    <t>Fomentar las organizaciones de base social y fortalecer las existentes</t>
  </si>
  <si>
    <t>Eventos de participacion e integración de la poblacion con discapacidad</t>
  </si>
  <si>
    <t xml:space="preserve">LOGISTICA OPERATIVA: Rrefrigerios, sonido, logistica en general, elementos y/o materia prima </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</si>
  <si>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</si>
  <si>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</si>
  <si>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</si>
  <si>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Apoyar la elaboración ,seguimiento y evaluacion de los planes de accion de los municipios y depto de la Politica Publica de discapacidad.</t>
  </si>
  <si>
    <t xml:space="preserve">Diseñar , construir  y difundir  de manera concertada la malla de oferta institucional con los diferentes actores
</t>
  </si>
  <si>
    <t>Servicio permanente de untérpretes de lengua de señas en servicios de urgencia y de información pública.</t>
  </si>
  <si>
    <t>Fortalecimiento de la convivencia y la seguridad ciudadana. "Tú y yo seguros"</t>
  </si>
  <si>
    <t>Servicio de apoyo para la implementación de medidas en derechos humanos y derecho internacional humanitario</t>
  </si>
  <si>
    <t>Casa de la Mujer Empoderada implementada</t>
  </si>
  <si>
    <t>0316 - 5 - 1 1 16 41 33 - 20
0316 - 5 - 1 1 16 41 33 - 88
0316 - 5 - 1 2 16 4 33 - 20
0316 - 5 - 1 4 16 42 33 - 88</t>
  </si>
  <si>
    <t>202000363-0033</t>
  </si>
  <si>
    <t>Implementación de la Casa de la Mujer Empoderada para la promoción a la participación ciudadana de mujeres en escenarios sociales, políticos y el fortalecimiento de la Asociatividad en el departamento del Quindío. "TU Y YO  CON LAS MUJERES EMPODERADAS".</t>
  </si>
  <si>
    <t>Crear la casa de la mujer como un espacio para el encuentro, la articulación, el empoderamiento, el fomento de la participación y la promoción de la mujer urbana y rural del Departamento del Quindío</t>
  </si>
  <si>
    <t>*Articulación interinstitucional para la promoción, el empoderamiento y el fomento de organizaciones orientadas a la mujer.
*Fortalecer la articulación de organizaciones y procesos orientados al empoderamiento y la promoción de la mujer.</t>
  </si>
  <si>
    <t xml:space="preserve">Recurso ordinario
</t>
  </si>
  <si>
    <t>Casa Refugio de la Mujer implementada</t>
  </si>
  <si>
    <t>0316 - 5 - 1 1 16 41 34 - 20
0316 - 5 - 1 1 16 41 34 - 88</t>
  </si>
  <si>
    <t>202000363-0034</t>
  </si>
  <si>
    <t>Implementación de la Casa Refugio de la Mujer del Departamento del Quindío.</t>
  </si>
  <si>
    <t>Crear la casa refugio para la protección de la mujer víctima del Departamento del Quindío</t>
  </si>
  <si>
    <t>*Articulación interinstitucional para la protección de la mujer.
*Fortalecer la articulación de organizaciones y procesos orientados a la protección de la mujer.</t>
  </si>
  <si>
    <t xml:space="preserve">Promover alianzas estratégicas para la creación y puesta en funcionamiento de la Casa Refugio para la protección de la Mujer </t>
  </si>
  <si>
    <t>Articulación de base social y comunitario para la protección de la Mujer</t>
  </si>
  <si>
    <t>Realizar procesos continuos y formativos para el aumento de mujeres protegidas y protectoras.</t>
  </si>
  <si>
    <t xml:space="preserve">Dotación de la Casa Refugio para la protección de la mujer </t>
  </si>
  <si>
    <t>Derechos fundamentales del trabajo y fortalecimiento del diálogo social. "Tú y yo con una niñez protegida"</t>
  </si>
  <si>
    <t>Servicio de educación informal para la prevención integral del trabajo infantil</t>
  </si>
  <si>
    <t>Personas capacitadas</t>
  </si>
  <si>
    <t>Diseño e Implementación de programa comunitario para la prevención de los Derechos de Niños, Niñas y Adolescentes y su desarrollo integral. "TU Y YO COMPROMETIDOS CON LOS SUEÑOS".</t>
  </si>
  <si>
    <t>Diseño e implementación, seguimiento y evaluación de una estrategia para la prevención de trabajo infantil</t>
  </si>
  <si>
    <t>superavit recurso ordinario</t>
  </si>
  <si>
    <t>Diseño e implementación, seguimiento y evaluación de estrategias de divulgación de Rutas de Atención en casos de vulneración de Derechos de NNA</t>
  </si>
  <si>
    <t>Diseño e implementación de campañas</t>
  </si>
  <si>
    <t>BDiseño e implementación de programa comunitario para la prevención de los derechos de Niños, Niñas y Adolescentes y su desarrollo integral. "TU Y YO COMPROMETIDOS CON LOS SUEÑOS".</t>
  </si>
  <si>
    <t>Servicio de promoción a la participación ciudadana</t>
  </si>
  <si>
    <t>Iniciativas para la promoción de la participación femenina en escenarios sociales y políticos implementada.</t>
  </si>
  <si>
    <t xml:space="preserve">PROGRAMACIÓN PLAN DE ACCIÓN 
SECRETARIA DE TURISMO INDUSTRIA Y COMERCIO
</t>
  </si>
  <si>
    <t xml:space="preserve">  F-PLA-06   </t>
  </si>
  <si>
    <t>27.1</t>
  </si>
  <si>
    <t>Servicio de apoyo y consolidación de las Comisiones Regionales de Competitividad - CRC</t>
  </si>
  <si>
    <t xml:space="preserve">Planes de trabajo concertados con las CRC para su consolidación </t>
  </si>
  <si>
    <t xml:space="preserve">0311 - 5 - 1 2 13 27 51 - 20
0311 - 5 - 1 2 13 27 51 - 88
</t>
  </si>
  <si>
    <t>201663000-0051</t>
  </si>
  <si>
    <t>Apoyo al mejoramiento de la competitividad a iniciativas  productivas en el  Departamento del Quindío</t>
  </si>
  <si>
    <t>Mejoramiento de  los  niveles de competitividad e innovación en  las empresas, a través de fortalecimiento de los clúster y  rutas competitivas  en el Departamento del Quindío.</t>
  </si>
  <si>
    <t>Incremento de las empresas competitivas en el departamento.</t>
  </si>
  <si>
    <t>Apoyo para la ejecuciòn  del Plan de Acciòn de la Comisiòn Regional de Competitividad.</t>
  </si>
  <si>
    <t xml:space="preserve">Secretaría de Turismo, Industria y Comercio </t>
  </si>
  <si>
    <t>Servicio de asistencia tècnica para el desarrollo de iniciativas Clùsters</t>
  </si>
  <si>
    <t>Aunar esfuerzos  para desarrollar proyecctos que incremente la competitiviad, la invonaciòn y la productividad de los clùster en el departamento</t>
  </si>
  <si>
    <t>Apoyo para la implementaciòn  y ejecuciòn de los planes de acciòn de los clùsters</t>
  </si>
  <si>
    <t>27.4</t>
  </si>
  <si>
    <t>Servicio de asistencia técnica a las Mipymes para el acceso a nuevos mercados</t>
  </si>
  <si>
    <t>Empresas asistidas técnicamente</t>
  </si>
  <si>
    <t>0311 - 5 - 1 2 13 27 56 - 20
0311 - 5 - 1 2 13 27 56 - 88
0311 - 5 - 3 1 2 2 10 13 56 - 20</t>
  </si>
  <si>
    <t>201663000-0056</t>
  </si>
  <si>
    <t xml:space="preserve">Fortalecimiento del sector empresarial  hacia mercados globales en el Departamento del Quindio .   </t>
  </si>
  <si>
    <t xml:space="preserve">Mejoramiento del potencial exportador de empresas con capacidad para su conexión a mercados globales 
</t>
  </si>
  <si>
    <t xml:space="preserve">Mejoramiento en la generación de competencias y habilidades en las empresas del departamento del Quindío.
Fortalecimiento de mecanismos de inversión y de herramientas tecnológicas de servicios logísticos en el sector empresarial para su
conexión a mercados global
</t>
  </si>
  <si>
    <t>Fortalecimiento a doce empresas en actividades de apertura de mercados internos y/o externos</t>
  </si>
  <si>
    <t>Apoyo a procesos y actividades direccionadas a promover el acceso a nuevos mercados  para las Mypymes del departamento</t>
  </si>
  <si>
    <t>Aunar esfuerzos para desarrolar proyectos  y/o actividades dirrecionadas a promover el acceso a nuevos mercados  para las Mypymes del departamento</t>
  </si>
  <si>
    <t>27.7</t>
  </si>
  <si>
    <t>Documentos de planeación elaborados</t>
  </si>
  <si>
    <t>Elaboraciòn de estudios, diagnòticos y/o investigaciòn para la formulaciòn del Plan de Internacionalizaciòn del departamento del Quindìo.</t>
  </si>
  <si>
    <t>27.5</t>
  </si>
  <si>
    <t>Servicio de asistencia técnica a los entes territoriales para el desarrollo turístico</t>
  </si>
  <si>
    <t>Entidades territoriales asistidas técnicamente</t>
  </si>
  <si>
    <t>0311 - 5 - 1 2 13 27 59 - 20
0311 - 5 - 1 2 13 27 59 - 88
0311 - 5 - 3 1 2 3 11 13 59 - 20</t>
  </si>
  <si>
    <t>201663000-0059</t>
  </si>
  <si>
    <t>Fortalecimiento de la oferta de prestadores de servicios, productos y atractivos turísticos en el Departamento del Quindío.</t>
  </si>
  <si>
    <t xml:space="preserve">Mejoramiento del posicionamiento del departamento del Quindío como destino turistico en Colombia. </t>
  </si>
  <si>
    <t>Fortalecimiento de los factores que hacen competitivo el turismo.</t>
  </si>
  <si>
    <t>Apoyo a los diferentes procesos que permitan fortalecer la oferta turìstica del destino del deparamento del Quindìo</t>
  </si>
  <si>
    <t>Logistica, impresión material y /o refrigerios para adelantar las diferentes campañas truísticas del Departamento</t>
  </si>
  <si>
    <t>Ejecución del Plan de Calidad Turistica</t>
  </si>
  <si>
    <t>Aunar esfuerzos y coordinar entre municipios y empresarios el apoyo en asistencia tècnica para certificaciones en protocolos de bioseguridad.</t>
  </si>
  <si>
    <t>Proyectos de infraestructura turística apoyados</t>
  </si>
  <si>
    <t>Estudios y/o diseños para proyectos de infraestructura turística.</t>
  </si>
  <si>
    <t>Apoyar los procesos de planificaciòn turìstica.</t>
  </si>
  <si>
    <t>27.6</t>
  </si>
  <si>
    <t>Servicio de promoción turística</t>
  </si>
  <si>
    <t>Campañas realizadas</t>
  </si>
  <si>
    <t xml:space="preserve">0311 - 5 - 1 2 13 27 62 - 52
0311 - 5 - 1 2 13 27 62 - 94
0311 - 5 - 3 1 2 3 13 13 62 - 52
0311 - 5 - 1 2 13 27 62 - 88
</t>
  </si>
  <si>
    <t>201663000-0062</t>
  </si>
  <si>
    <t>Apoyo a la promoción nacional e internacional como destino  turísmo del Departamento del Quindío.</t>
  </si>
  <si>
    <t>Mejoramiento del nivel de impacto de las acciones de "Promoción del destino turístico del departamento del Quindío"</t>
  </si>
  <si>
    <t>Eficiente identificación de los mercados prioritarios para productos turísticos</t>
  </si>
  <si>
    <t>Ejecucion del Plan de Mercadeo para la  Promoción del departamento como destino turística nivel nacional.</t>
  </si>
  <si>
    <t xml:space="preserve">
Impuesto al Registro
</t>
  </si>
  <si>
    <t>Apoyo a camapañas de promociòn institucional a travès de  diferentes medios de comunicaciòn</t>
  </si>
  <si>
    <t xml:space="preserve">
Superávit  Impuesto al Registro
</t>
  </si>
  <si>
    <t>Apoyo a la promociòn nacional e internaciònal del departamento del Quindìo como destino turìstico</t>
  </si>
  <si>
    <t>Logìstica y transporte para realizar  labores institucionales</t>
  </si>
  <si>
    <t>Adquisiciòn de equipos tecnologicos para la promociòn turìstica</t>
  </si>
  <si>
    <t>Generación y formalización del empleo. "Tú y yo con empleo de calidad"</t>
  </si>
  <si>
    <t>28.1</t>
  </si>
  <si>
    <t>Servicios de apoyo financiero para la creaciòn de empresas</t>
  </si>
  <si>
    <t>Planes de negocio financiados</t>
  </si>
  <si>
    <t>0311 - 5 - 1 2 13 28 53 - 20
0311 - 5 - 1 2 13 28 53 - 88
0311 - 5 - 3 1 2 2 9 13 53 - 20</t>
  </si>
  <si>
    <t>201663000-0053</t>
  </si>
  <si>
    <t>Apoyo al emprendimiento, empresarismo, asociatividad y generación de empleo en el departamento del Quindío.</t>
  </si>
  <si>
    <t>Mejoramiento de los niveles de emprendimiento, empresarismo y asociatividad en el departamento del Quindío</t>
  </si>
  <si>
    <t>Eficiente estimulo con recursos financieros para el emprendimiento, empresarismo y asociatividad en el departamento del Quindío</t>
  </si>
  <si>
    <t>Apoyar  tres unidades de emprendimiento de jovenes emprendedores.</t>
  </si>
  <si>
    <t>Aunar esfuerzos para desarrolar proyectos direccionados al financiamiento de planes de negocio</t>
  </si>
  <si>
    <t>28.4</t>
  </si>
  <si>
    <t>Servicio de asesorìa tècnica para el emprendimiento.</t>
  </si>
  <si>
    <t>Emprendimientos fortalecidos</t>
  </si>
  <si>
    <t>Apoyo a procesos y actividades direccionadas a fortalecer las capacidades de los emprendedores del departamento</t>
  </si>
  <si>
    <t>Aunar esfuerzos para desarrolar proyectos  a travès delos cuales se fortalezcan las capacidades de los emprendedores del departamento</t>
  </si>
  <si>
    <t>28.2</t>
  </si>
  <si>
    <t>Servicio de asìstencia tècnica para la gèneracion y formalizaciòn del empleo</t>
  </si>
  <si>
    <t>Talleres de oferta institucional realizados</t>
  </si>
  <si>
    <t>Apoyar tres unidades de emprendimiento de población con enfoque diferencial.</t>
  </si>
  <si>
    <t>Apoyo a procesos y actividades direccionadas a desarrollar talleres de oefrta institucional del sector trabajo.</t>
  </si>
  <si>
    <t>Logistica, impresiones maaterial  y refrigerios para adelantar los talleres de oferta institucional</t>
  </si>
  <si>
    <t>28.3</t>
  </si>
  <si>
    <t>Servicio de informaciòn y monitoreo del mercado de trabajo</t>
  </si>
  <si>
    <t>Reportes realizados</t>
  </si>
  <si>
    <t>Apoyo a procesos y actividades direccionadas a fortalecer el observatorio regional del mercado de trabajo ORMET</t>
  </si>
  <si>
    <t>Logistica, impresiones maaterial  y refrigerios para adelantar los procesos de monitoreo del mercado de tarabajo,</t>
  </si>
  <si>
    <t xml:space="preserve">MARIA TERESA RAMÍREZ LEÓN </t>
  </si>
  <si>
    <t>Secretaria de Turismo, Industria y Comercio</t>
  </si>
  <si>
    <t>SEGUIMIENTO PLAN DE ACCIÓN
INSTITUTO DEPARTAMENTAL DEL DEPORTE Y LA RECREACION DEL QUINDIO
DICIEMBRE  31   DE   2020</t>
  </si>
  <si>
    <t>E</t>
  </si>
  <si>
    <t>39.1</t>
  </si>
  <si>
    <t>Servicio de Escuelas Deportivas</t>
  </si>
  <si>
    <t>Municipios con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</si>
  <si>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</si>
  <si>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</si>
  <si>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</si>
  <si>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</si>
  <si>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</si>
  <si>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Brindad asesoria a los doce municipios del departamente</t>
  </si>
  <si>
    <t>Gerente General INDEPORTES</t>
  </si>
  <si>
    <t>2334471206_6</t>
  </si>
  <si>
    <t>6</t>
  </si>
  <si>
    <t>Recursos del balance  Cigarrillos Nacionales y Extranjeros Funcionamiento 70%</t>
  </si>
  <si>
    <t>Servicio de promoción de la actividad física, la recreación y el deporte</t>
  </si>
  <si>
    <t>Municipios implementando  programas de recreación, actividad física y deporte social comunitario</t>
  </si>
  <si>
    <t>2234471207_3</t>
  </si>
  <si>
    <t>Realizacion de eventos deportivos en el departamento</t>
  </si>
  <si>
    <t>3</t>
  </si>
  <si>
    <t>2234471208_4</t>
  </si>
  <si>
    <t>Realizacion de los juegos comunales en el departamento</t>
  </si>
  <si>
    <t>4</t>
  </si>
  <si>
    <t>ICLD</t>
  </si>
  <si>
    <t>2234471208_12</t>
  </si>
  <si>
    <t>12</t>
  </si>
  <si>
    <t>39.2</t>
  </si>
  <si>
    <t>Municipios vinculados al programa Supérate-Intercolegiados</t>
  </si>
  <si>
    <t>2234470205_12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</si>
  <si>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</si>
  <si>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</si>
  <si>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</si>
  <si>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</si>
  <si>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t>
  </si>
  <si>
    <t>2234470205_4</t>
  </si>
  <si>
    <t>Aportes Departamento 1% ICLD</t>
  </si>
  <si>
    <t>2334470205_6</t>
  </si>
  <si>
    <t xml:space="preserve">Municipios implementando  programas de recreación, actividad física y  y deporte social comunitario </t>
  </si>
  <si>
    <t>2234572209_3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</si>
  <si>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</si>
  <si>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</si>
  <si>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</si>
  <si>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</si>
  <si>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t>
  </si>
  <si>
    <t>2334572209_6</t>
  </si>
  <si>
    <t>2234572210_3</t>
  </si>
  <si>
    <t xml:space="preserve">Apoyo logistico y tecnico al adulto mayor </t>
  </si>
  <si>
    <t>2334572210_6</t>
  </si>
  <si>
    <t>39.3</t>
  </si>
  <si>
    <t>Formular e  implementar una  política pública para el desarrollo y acceso al deporte, la recreación, la actividad física, la educación física y el uso adecuado del tiempo libre, como ejes de transformación humana y social en el departamento del Quindío</t>
  </si>
  <si>
    <t>Politica publica formulada e implementada</t>
  </si>
  <si>
    <t>0.25</t>
  </si>
  <si>
    <t>2334572211_12</t>
  </si>
  <si>
    <t xml:space="preserve">Apoyo logistico tecnico </t>
  </si>
  <si>
    <t>2234572211_12</t>
  </si>
  <si>
    <t>2234572211_3</t>
  </si>
  <si>
    <t xml:space="preserve">22346741_4
</t>
  </si>
  <si>
    <t>201663000-0166</t>
  </si>
  <si>
    <t>Apoyo a proyectos deportivos, recreativos y de actividad fisica, en el Departamento del Quindìo</t>
  </si>
  <si>
    <t>Disminuir los índices del consumo de estupefacientes en los municipios del departamento</t>
  </si>
  <si>
    <t>Fortalecer la articulacion interinstitucional</t>
  </si>
  <si>
    <t>Actividades en promoción de hábitos y estilos de vida saludables  (Componente tecnico)</t>
  </si>
  <si>
    <t>23347471_5</t>
  </si>
  <si>
    <t>5</t>
  </si>
  <si>
    <t xml:space="preserve"> Cigarrillos Nacionales y Extranjeros Municipios 30%</t>
  </si>
  <si>
    <t>2234572212_3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</si>
  <si>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</si>
  <si>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</si>
  <si>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</si>
  <si>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Fomentar estios de vida saludable y actividad fisica</t>
  </si>
  <si>
    <t>2334573212_15</t>
  </si>
  <si>
    <t xml:space="preserve"> Rendimientos Financieros Recursos del Balance</t>
  </si>
  <si>
    <t>2334573212_18</t>
  </si>
  <si>
    <t>2334573212_4</t>
  </si>
  <si>
    <t>2334573212_6</t>
  </si>
  <si>
    <t>Cigarrillos Nacionales y Extranjeros Funcionamiento 70%</t>
  </si>
  <si>
    <t>241434301010101_12</t>
  </si>
  <si>
    <t>202000363-0038</t>
  </si>
  <si>
    <t>Fortalecimiento, Habitos y estilos de vida saludable como instrumento SALVAVIDAS en el Departamento del Quindio</t>
  </si>
  <si>
    <t>Generar la participación y promoción de actividades físicas deportivas y recreativas en el departamento del Quindío</t>
  </si>
  <si>
    <t>Crear nuevos programas de actividad física y hábitos saludables de vida
Generar una cultura de estilos de vida saludable y actividad física.
Crear nuevos instrumentos de planificación para la formulación de la política publica
Mejorar difusión y acercamiento de la oferta institucional
Promover a los  niños, niñas, adolescentes y jóvenes para realizar actividades físicas y deportivas</t>
  </si>
  <si>
    <t>241434301010101_3</t>
  </si>
  <si>
    <t>241434301010101_4</t>
  </si>
  <si>
    <t>241434301010101_7</t>
  </si>
  <si>
    <t>241434301010101_9</t>
  </si>
  <si>
    <t>251434301010101_12</t>
  </si>
  <si>
    <t>251434301010101_16</t>
  </si>
  <si>
    <t>251434301010101_17</t>
  </si>
  <si>
    <t>251434301010101_18</t>
  </si>
  <si>
    <t>251434301010101_19</t>
  </si>
  <si>
    <t>251434301010101_20</t>
  </si>
  <si>
    <t>251434301010101_3</t>
  </si>
  <si>
    <t>251434301010101_4</t>
  </si>
  <si>
    <t>251434301010101_6</t>
  </si>
  <si>
    <t>241434301010201_12</t>
  </si>
  <si>
    <t>241434301010201_4</t>
  </si>
  <si>
    <t>241434301010201_7</t>
  </si>
  <si>
    <t>241434301020101_12</t>
  </si>
  <si>
    <t>Desarrollar estrategias para acceso de niños, niñas, adolescentes y jóvenes a procesos de formación deportiva y espacios recreativos en el Departamento del Quindío</t>
  </si>
  <si>
    <t>241434301020101_7</t>
  </si>
  <si>
    <t>241434301020102_5</t>
  </si>
  <si>
    <t xml:space="preserve">  Cigarrillos Nacionales y Extranjeros Municipios 30%</t>
  </si>
  <si>
    <t>25143430101020101_6</t>
  </si>
  <si>
    <t xml:space="preserve"> Cigarrillos Nacionales y Extranjeros Funcionamiento 70%</t>
  </si>
  <si>
    <t>241434301030101_12</t>
  </si>
  <si>
    <t>Crear nuevos instrumentos de planificación para la formulación de la política publica</t>
  </si>
  <si>
    <t>241434301030101_3</t>
  </si>
  <si>
    <t>Formación y preparación de deportistas. "Tú y yo campeones"</t>
  </si>
  <si>
    <t>40.2</t>
  </si>
  <si>
    <t>Servicio de asistencia técnica para la promoción del deporte</t>
  </si>
  <si>
    <t xml:space="preserve">Organismos deportivos asistidos </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</si>
  <si>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</si>
  <si>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</si>
  <si>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</si>
  <si>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</si>
  <si>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</si>
  <si>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t>
  </si>
  <si>
    <t>31/06/2020</t>
  </si>
  <si>
    <t>INDEPORTES</t>
  </si>
  <si>
    <t>2234468202_4</t>
  </si>
  <si>
    <t xml:space="preserve">Realizar acompañamiento y asesorìa a las ligas y clubes del departamento </t>
  </si>
  <si>
    <t>2334468202_6</t>
  </si>
  <si>
    <t>2234468203_4</t>
  </si>
  <si>
    <t xml:space="preserve">Apoyo a deportistas de alto logros y reserva deportiva </t>
  </si>
  <si>
    <t>2234469204-4</t>
  </si>
  <si>
    <t xml:space="preserve">Apoyo  logistico a las 13 ligas estrategicas </t>
  </si>
  <si>
    <t>2234469204_12</t>
  </si>
  <si>
    <t>241434302010101_12</t>
  </si>
  <si>
    <t>202000363-0039</t>
  </si>
  <si>
    <t>Fortalecimiento al deporte competitivo y de altos logros "TU Y    YO SOMOS salvaVIDAS POR UN QUINDIO GANADOR" en el Departamento del Quindio</t>
  </si>
  <si>
    <t>Definir nuevas metodologías para el desarrollo en el deporte formativo y competitivo del Departamento del Quindío</t>
  </si>
  <si>
    <t>Mejorar el rendimiento deportivo  y competitivo en los  deportistas de alto nivel competitivo y con proyección a altos logros
Determinar nuevos procesos para el desarrollo y aprendizaje en la parte técnica y táctica al interior de los clubes y ligas.</t>
  </si>
  <si>
    <t>241434302010101_3</t>
  </si>
  <si>
    <t>241434302010101_4</t>
  </si>
  <si>
    <t>251434302010101_6</t>
  </si>
  <si>
    <t>Juegos Deportivos Realizados</t>
  </si>
  <si>
    <t>0.6</t>
  </si>
  <si>
    <t>241434302010201_4</t>
  </si>
  <si>
    <t>Desarrollo de los  XXII JUEGOS DEPORTIVOS NACIONALES Y VI JUEGOS PARANACIONALES   2023</t>
  </si>
  <si>
    <t>Generar una mayor participación  deportiva y organización de eventos multideportivos en el Departamento del Quindío</t>
  </si>
  <si>
    <t>Aumentar la asignación de recursos para el deporte formativo y competitivo</t>
  </si>
  <si>
    <t>04</t>
  </si>
  <si>
    <t>FERNANDO AUGUSTO PANESSO ZULUAGA</t>
  </si>
  <si>
    <t>Gerente General</t>
  </si>
  <si>
    <t>PROGRAMACIÓN PLAN DE ACCIÓN 
SECRETARÍA DE CULTURA
DICIEMBRE 31 DE 2020</t>
  </si>
  <si>
    <t>CODIGO INTERNO 
META</t>
  </si>
  <si>
    <t>Edad Económicamente Activa  (20-59 años)</t>
  </si>
  <si>
    <t xml:space="preserve">3301087
</t>
  </si>
  <si>
    <t>Servicio de educación informal en áreas artísticas y culturales</t>
  </si>
  <si>
    <t>0310 - 5 - 1 1 5 25 46 - 20
0310 - 5 - 1 1 5 25 46 - 39
0310 - 5 - 1 1 5 25 46 - 41
0310 - 5 - 1 1 5 25 46 - 83
0310 - 5 - 1 1 5 25 46 - 88
0310 - 5 - 3 1 3 9 29 5 46 - 20
0310 - 5 - 3 1 3 9 29 5 46 - 39</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</si>
  <si>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</si>
  <si>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</si>
  <si>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</si>
  <si>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ciudadanía al arte y la cultura.
.Alta concertación de proyectos con la institucionalidad cultural.
.Mayor apoyo a la creación investigación y producción artística
</t>
  </si>
  <si>
    <t>Formación artística y cultural</t>
  </si>
  <si>
    <t>Superavit Ordinario</t>
  </si>
  <si>
    <t>Secretaría de Cultura</t>
  </si>
  <si>
    <t xml:space="preserve"> Difusión y Circulación Artística</t>
  </si>
  <si>
    <t>Recurso Ordinario.</t>
  </si>
  <si>
    <t>Apoyo técnico y logístico</t>
  </si>
  <si>
    <t xml:space="preserve">3301073
</t>
  </si>
  <si>
    <t>Servicio de circulación artística y cultural</t>
  </si>
  <si>
    <t>Producciones artísticas en circulación</t>
  </si>
  <si>
    <t>Apoyo técnico en la coordinación del programa concertación y estímulos</t>
  </si>
  <si>
    <t>Superavit recurso estampilla</t>
  </si>
  <si>
    <t>Fortalecimiento del sector artistico y cultural</t>
  </si>
  <si>
    <t>Convocatoria y apoyo logístico</t>
  </si>
  <si>
    <t>Estampilla Procultura 50% Concertación</t>
  </si>
  <si>
    <t>Convocatoria y apoyo logístico de proyectos concertados</t>
  </si>
  <si>
    <t>Cofinanciación de proyectos</t>
  </si>
  <si>
    <t>Evaluación y Seguimiento de proyectos concertados</t>
  </si>
  <si>
    <t>Convocatoria y apoyo logístico de proyectos programa departamental de estímulos</t>
  </si>
  <si>
    <t>Estampilla Procultura 10% Estímulos</t>
  </si>
  <si>
    <t>Evaluación y Seguimiento de proyectos programa departamental de esttímulos</t>
  </si>
  <si>
    <t>Cofinanciación de proyectos programa departamental de esttímulos</t>
  </si>
  <si>
    <t>SECRETARÍA DE CULTURA</t>
  </si>
  <si>
    <t>3301085</t>
  </si>
  <si>
    <t>Servicios bibliotecarios</t>
  </si>
  <si>
    <t>Usuarios atendidos</t>
  </si>
  <si>
    <t>0310 - 5 - 1 1 5 25 11 - 34
0310 - 5 - 1 1 5 25 11 - 83</t>
  </si>
  <si>
    <t>202000363-0011</t>
  </si>
  <si>
    <t xml:space="preserve">Implementación del programa "Tú y Yo Somos Cultura", para el fortalecimiento a la léctura,  escitura  y bibliotecas en el Departamento del Quindío. </t>
  </si>
  <si>
    <t xml:space="preserve">Fortalecer el Plan Departamental de Lectura y Bibliotecas, que garantice un mayor acceso de las personas a los servicios bibliotecarios físicos y virtuales que permitan incentivar la lectura a través de procesos de formación, producción y circulación de contenidos literarios </t>
  </si>
  <si>
    <t xml:space="preserve">*Acceso por parte de la población rural, sectores populares y/o marginales urbanos a programas de formación y actividades de promoción de lectura. 
*Fortalecimiento y acompañamiento a bibliotecarios.
*Acceso a programas y eventos de promoción, circulación y difusión literarios. </t>
  </si>
  <si>
    <t>Procesos de formacion literaria y actividades de promocion de lectura.</t>
  </si>
  <si>
    <t xml:space="preserve">Estampilla Procultura 10% Bibliotecas
</t>
  </si>
  <si>
    <t>Coordinación y apoyo de la Red Departamental de Bibliotecas.</t>
  </si>
  <si>
    <t>Fortalecimiento y dotación de bibliotecas</t>
  </si>
  <si>
    <t>3301100</t>
  </si>
  <si>
    <t>Servicio de divulgación y publicaciones</t>
  </si>
  <si>
    <t>Publicaciones realizadas</t>
  </si>
  <si>
    <t xml:space="preserve">Publicacion, divulgacion y circulación de obras literarias y escritores locales. </t>
  </si>
  <si>
    <t>Superávit Estampilla Pro Cultura (10% Bibliotecas)</t>
  </si>
  <si>
    <t>3301099</t>
  </si>
  <si>
    <t>Servicio de información para el sector artístico y cultural</t>
  </si>
  <si>
    <t>Sistema de información del sector artístico y cultural en operación</t>
  </si>
  <si>
    <t>0310 - 5 - 1 1 5 25 12 - 20
0310 - 5 - 1 1 5 25 12 - 88</t>
  </si>
  <si>
    <t>202000363-0012</t>
  </si>
  <si>
    <t xml:space="preserve"> Implementación de la " Ruta de la felicidad y la identidad quindiana", para  el fortalecimiento y visibilización de los procesos   artisticos  y culturales   en el Departamento del Quindio.</t>
  </si>
  <si>
    <t>Implementar la " Ruta de la felicidad y la identidad quindiana", para el fortalecimiento y visibilización de los procesos artísticos y culturales en el Departamento del Quindío.</t>
  </si>
  <si>
    <t>*Servicio de información para el sector artístico y cultural.
*Apoyo  y  fortalecimiento del sector artístico y cultural, Valoración, visibilización del sector artístico y cultural</t>
  </si>
  <si>
    <t>3301095</t>
  </si>
  <si>
    <t>Servicio de asistencia técnica en gestión artística y cultural</t>
  </si>
  <si>
    <t>Personas asistidas técnicamente</t>
  </si>
  <si>
    <t>0310 - 5 - 1 1 5 25 45 - 33
0310 - 5 - 1 1 5 25 45 - 83
0310 - 5 - 1 1 5 25 45 - 88</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</si>
  <si>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</si>
  <si>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</si>
  <si>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</si>
  <si>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</si>
  <si>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Aportes para la seguridad social de artistas, creadores y gestores del departamento del Quindío</t>
  </si>
  <si>
    <t>Estampilla procultura 10% Seguridad social</t>
  </si>
  <si>
    <t>Superávit Estampilla Procultura</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</si>
  <si>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</si>
  <si>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</si>
  <si>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</si>
  <si>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</si>
  <si>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0310 - 5 - 1 1 5 26 49 - 20
0310 - 5 - 1 1 5 26 49 - 47
0310 - 5 - 1 1 5 26 49 - 88
0310 - 5 - 1 1 5 26 49 - 93
0310 - 5 - 3 1 3 10 32 5 49 - 20</t>
  </si>
  <si>
    <t>201663000-0049</t>
  </si>
  <si>
    <t>Apoyo al reconocimiento, apropiación y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</si>
  <si>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</si>
  <si>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
.Mayor reconocimiento y valoración de la diversidad poblacional presente en el Quindío</t>
  </si>
  <si>
    <t>Difusión y salvaguardia del patrimonio cultural</t>
  </si>
  <si>
    <t>Recurso Ordinaro</t>
  </si>
  <si>
    <t>Apoyo a procesos, evaluación y seguimiento</t>
  </si>
  <si>
    <t>Apoyo a proyectos y/o actividades de poblaciones especiales</t>
  </si>
  <si>
    <t>3302070</t>
  </si>
  <si>
    <t>Servicio de divulgación y publicación del Patrimonio cultural</t>
  </si>
  <si>
    <t>Ayuda humanitaria Decreto 561 del Ministerio de Cultura</t>
  </si>
  <si>
    <t>Superavit IVA Telefonia movil cultura</t>
  </si>
  <si>
    <t>IVA Telefonia movil Cultura</t>
  </si>
  <si>
    <t>JORGE IVÁN ESPINOZA HIDALGO</t>
  </si>
  <si>
    <t>Secretario de Cultura</t>
  </si>
  <si>
    <t>PROGRAMACIÓN PLAN DE ACCIÓN
OFICINA PRIVADA
DICIEMBRE 31  DE 2020</t>
  </si>
  <si>
    <t>45.8</t>
  </si>
  <si>
    <t>Desarrollo de  la Política  de Transparencia, Acceso a la Información Pública y Lucha Contra la Corrupción del Modelo Integrado de Planificación y Gestión MIPG, articulada con el "Pacto por la Integridad , Transparencia y Legalidad" del Gobierno Nacional</t>
  </si>
  <si>
    <r>
      <t xml:space="preserve">Política de Transparencia, Acceso a la Información Pública y Lucha Contra la Corrupción  articulada   con el "Pacto por la Integridad , Transparencia y Legalidad" del Gobierno Nacional desarrollada.                                                                           </t>
    </r>
    <r>
      <rPr>
        <sz val="12"/>
        <color rgb="FF000000"/>
        <rFont val="Arial"/>
        <family val="2"/>
      </rPr>
      <t xml:space="preserve">        </t>
    </r>
  </si>
  <si>
    <t>0313 - 5 - 3 1 5 26 83 17 82 - 20
0313 - 5 - 1 4 17 45 82 - 20
0313 - 5 - 1 4 17 45 82 - 88</t>
  </si>
  <si>
    <t>201663000-0082</t>
  </si>
  <si>
    <t>Desarrollar y fortalecer la cultura de la transparencia, participación, buen gobierno  y valores éticos y morales en el Departamento del Quindío.</t>
  </si>
  <si>
    <t>Elevar el índice de transparencia en la administración departamental,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</si>
  <si>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.Mejorar la cultura del civismo y participación de los ciudadanos en los procesos institucionales del gobierno.
</t>
  </si>
  <si>
    <t>Desarrollo de actividades de buen gobierno y participación ciudadana.</t>
  </si>
  <si>
    <t xml:space="preserve">Oficina Privada </t>
  </si>
  <si>
    <t xml:space="preserve">Desarrollo de la estrategia de transparencia </t>
  </si>
  <si>
    <t>45.7</t>
  </si>
  <si>
    <t>Desarrollo e implementación de la Estrategia de Comunicaciones para la Administración Departamental</t>
  </si>
  <si>
    <t>Estrategia de comunicaciones desarrollada e implementada</t>
  </si>
  <si>
    <t>0313 - 5 - 3 1 5 28 89 17 81 - 20
0313 - 5 - 1 4 17 45 81 - 20
0313 - 5 - 1 4 17 45 81 - 88</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</si>
  <si>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</si>
  <si>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</si>
  <si>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</si>
  <si>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 xml:space="preserve">.Incremento en el número de campañas institucionales para dar a conocer los programas y proyectos de la gobernación.
.Planificación institucional en la divulgación de los programas y proyectos.
</t>
  </si>
  <si>
    <t>Ejecución de Plan de Medios (radio, prensa, revistas, televisión, portales web, redes sociales, OOH) - Revisión y Desarrollo de la estrategia de comunicaciones</t>
  </si>
  <si>
    <t xml:space="preserve">Operatividad de la estrategia de comunicaciones </t>
  </si>
  <si>
    <t xml:space="preserve">Operatividad de la estratégica de comunicaciones </t>
  </si>
  <si>
    <t>42.4</t>
  </si>
  <si>
    <t xml:space="preserve">Encuentros ciudadanos en el Departamento del Quindío en aplicación de la Política de Transparencia, Acceso a la Información Pública y Lucha contra la Corrupción.  </t>
  </si>
  <si>
    <t>Encuentros  ciudadanos realizados.</t>
  </si>
  <si>
    <t>0313 - 5 - 1 4 16 42 22 - 20</t>
  </si>
  <si>
    <t>202000363-0022</t>
  </si>
  <si>
    <t>Fortalecimiento de  las capacidades institucionales de la administración departamental del Quindío, para generar condiciones de gobernanza territorial, participación, administración eficiente y transparente.</t>
  </si>
  <si>
    <t>Fortalecer las capacidades institucionales con la aplicación de la política de transparencia, acceso a la información pública y lucha contra la corrupción, generando condiciones de confianza, participación efectiva, administración eficiente y transparente en escenarios presenciales o virtuales de encuentros ciudadanos</t>
  </si>
  <si>
    <t>Tener una mejor interacción con el ciudadano, juntas de acción comunal, gobiernos municipales y gremios, mejorando el diagnóstico de las necesidades de los gobernados.
Realizar encuentros ciudadanos en los municipios, corregimientos y comunas del departamento del Quindío</t>
  </si>
  <si>
    <t xml:space="preserve">Realización de Encuentros ciudadanos  presenciales o virtuales en el departamento del Quindío en aplicación de la Política de Transparencia, Acceso a la Información Pública y Lucha contra la Corrupción.  </t>
  </si>
  <si>
    <t xml:space="preserve">JUAN MIGUEL GALVIS BEDOYA </t>
  </si>
  <si>
    <t>Secretario Privado</t>
  </si>
  <si>
    <t>PROGRAMACIÓN PLAN DE ACCIÓN
SECRETARIA DE AGUAS E INFRAESTRUCTURA
DICIEMBRE 31 DE 2020</t>
  </si>
  <si>
    <t>PLAN DE DESARROLLO DEPARTAMENTAL "TÚ Y YO SOMOS QUINDÍO"</t>
  </si>
  <si>
    <t>Promoción al acceso a la justicia."Tú y yo con justicia"</t>
  </si>
  <si>
    <t xml:space="preserve">Infraestructura  de las Instituciones de seguridad del estado con procesos  constructivos   y/o mejorados y/o ampliados y/o mantenidos y/o  reforzados </t>
  </si>
  <si>
    <t xml:space="preserve">Infraestructura  de las Instituciones de seguridad del estado construida y/o Mejorada, y/o Ampliada, y/o Mantenida, Y/o  Reforzada </t>
  </si>
  <si>
    <t>0308 - 5 - 1 1 18 1 7 - 88</t>
  </si>
  <si>
    <t>202000363-0007</t>
  </si>
  <si>
    <t>Construcción y/o mejoramiento de las instituciones públicas y/o de seguridad y  justicia  del estado en el Departamento Quindío .</t>
  </si>
  <si>
    <t>fortalecer infraestructuras públicas, equipamientos y equipamentos,  mediante diagnósticos que nos permitan establecer las condiciones que se encuentran con el fin de realizar intervenciones en la mejora de cada uno que permita  el buen funcionamiento.</t>
  </si>
  <si>
    <t>1- Promover la transparencia, la participación y la colaboración en la administración pública.                               2- Involucrar a la ciudadanía en el diseño, gestión de las diferentes estrategias a ejecutar para que sean beneficiados.</t>
  </si>
  <si>
    <t>Costrucción y/o mejoramiento</t>
  </si>
  <si>
    <t>Secretaría de Aguas e Infraestructura</t>
  </si>
  <si>
    <t>Prestación de servicios de salud. "Tú y yo con servicios de salud"</t>
  </si>
  <si>
    <t xml:space="preserve">Infraestructura  Hospitalaria  con procesos  constructivos  y/o mejorados, y/o ampliados y/o mantenidos, y/o  reforzados </t>
  </si>
  <si>
    <t xml:space="preserve">Infraestructura   Hospitalaria  construída y/o Mejorada, y/o Ampliada, y/o Mantenida, y/o  Reforzada </t>
  </si>
  <si>
    <t>0308 - 5 - 1 1 2 13 8 - 88</t>
  </si>
  <si>
    <t>202000363-0008</t>
  </si>
  <si>
    <t>Construccion y/o mejoramiento de la infraestructura fisica de las instituciones de salud pública y bienestar social del departamento del quindio.</t>
  </si>
  <si>
    <t>Aumentar capacidad de infraestructura que permita la  prestaciòn del servicio de salud en el Departamento del Quindio.</t>
  </si>
  <si>
    <t xml:space="preserve">1- Aumentar la infraestructura cumpliendo con requisitos para la atenciòn basica en salud.
2- Disponer de sitios aptos para la atenciòn basica de salud
3 - Garantizar el acceso efectivo de la poblaciòn a los servicios de atenciòn  en salud
</t>
  </si>
  <si>
    <t>15.32</t>
  </si>
  <si>
    <t xml:space="preserve">Infraestructura  de Instituciones Educativas  con procesos  constructivos ,  y/o mejorados, y/o ampliados, y/o mantenidos, y/o  reforzados </t>
  </si>
  <si>
    <t>0308 - 5 - 1 1 1 15 21 - 04
0308 - 5 - 1 1 1 15 21 - 82
0308 - 5 - 3 1 2 4 15 1 21 - 04
0308 - 5 - 3 1 2 4 15 1 21 - 165</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</si>
  <si>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</si>
  <si>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</si>
  <si>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</si>
  <si>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</si>
  <si>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Servicio de transporte para el desplazamiento del personal y materiales  a las obras físicas</t>
  </si>
  <si>
    <t>Suministro y/o compraventa de materiales, elementos y  equipos necesarios para la ejecucion de proyectos en infraestructura educativa</t>
  </si>
  <si>
    <t>Prestacion de Servicios de Asistencia Profesional a la supervision en la vigilancia, seguimiento y control juridico de los contratos suscritos en cumplimiento del proyecto.</t>
  </si>
  <si>
    <t>Apoyo a la Supervision en la vigilancia, seguimiento y control juridico a los procesos y contratos de obra fìsica en ejecucion suscritos por el Departamento en cumplimiento del proyecto construir mantener, mejorar y/o rehabilitar la infraestructura socal-educativa del Departamento del Quindìo.</t>
  </si>
  <si>
    <t>Prestacion de Servicios de Apoyo Tecnico a la supervision en la vigilancia, seguimiento y contral juridico de los contratos suscritos por el Departamento</t>
  </si>
  <si>
    <t>Asistencia Profesional a la supervisión en la vigilancia y seguimiento y control  Financiero y Administrativo de los contratos suscritos en cumplimiento del proyecto.</t>
  </si>
  <si>
    <t>Seguimiento y control administrativo y financiero de las obras y contratos suscritos y en ejecucion por el Departamento en cumplimiento del proyecto construir mantener, mejorar y/o rehabilitar la infraestructura socal-educativa del Departamento del Quindìo.</t>
  </si>
  <si>
    <t>Prestacion de Servicios de Asistencia Profesional  a la Supervision de obras fisicas y procesos que se adelanten en cumplimiento del proyecto.</t>
  </si>
  <si>
    <t>Seguimiento y control de obras físicas y procesos que se adelanten en cumplimiento del proyecto.</t>
  </si>
  <si>
    <t>Prestacion de Servicios de Apoyo Tecnico a la supervision  de obras fisicas y procesos que se adelanten en cumplimiento del proyecto.</t>
  </si>
  <si>
    <t xml:space="preserve">Apoyo  tecnico a la Supervision, en la vigilancia, seguimiento y control de las obras  y contratos suscritos, para manterner mejorar y/o rehabilitar la infraestructura social-educativa del Departamento del Quindio. </t>
  </si>
  <si>
    <t>Mano de obra calificada y/o no calificada necesaria para la ejecucion de obras fìsicas de mantenimiento y/o mejoramiento y/o rehabilitacion y/o atencion de la infraestructura social y de Instituciones educativas del Departamento del Quindìo</t>
  </si>
  <si>
    <t xml:space="preserve">Prestacion de servicios de mano de obra no calificada necesaria para el cumplimiento del Proyecto  </t>
  </si>
  <si>
    <t>Mantener, mejorar y/o rehabilitar las Instituciones Educativas del Departamento del Quindio.</t>
  </si>
  <si>
    <t>Interventoría integral para los contratos que se adelanten en Infraestructura Educativa.</t>
  </si>
  <si>
    <t>3301068</t>
  </si>
  <si>
    <t>25.3</t>
  </si>
  <si>
    <t>Servicio de mantenimiento de infraestructura cultural</t>
  </si>
  <si>
    <t>Infraestructura cultural intervenida</t>
  </si>
  <si>
    <t>0308 - 5 - 1 1 5 25 21 - 20
0308 - 5 - 1 1 5 25 21 - 88</t>
  </si>
  <si>
    <t>Mano de obra calificada y/o no calificada necesaria para la ejecucion de obras fìsicas de mantenimiento y/o mejoramiento y/o rehabilitacion y/o atencion de la infraestructura social y Cultural del Departamento del Quindìo</t>
  </si>
  <si>
    <t>Suministro y/o compraventa de materiales, elementos y  equipos necesarios para la ejecucion del proyectos</t>
  </si>
  <si>
    <t>39.4</t>
  </si>
  <si>
    <t xml:space="preserve">Infraestructura  deportiva y/o recreativa con procesos   constructivos ,  y/o mejorados, y/o ampliados, y/o mantenidos, y/o  reforzados </t>
  </si>
  <si>
    <t>0308 - 5 - 1 1 4 39 21 - 04</t>
  </si>
  <si>
    <t xml:space="preserve">Servicio de transporte  para el desplazamiento del personal  y materiales a las obras físicas  </t>
  </si>
  <si>
    <t>Suministro y/o compraventa de materiales, elementos y  equipos necesarios para la realizacion de proyectos en infraestructura deportiva.</t>
  </si>
  <si>
    <t>Apoyo a la Supervision en la vigilancia, seguimiento y control juridico a los procesos y contratos de obra fìsica en ejecucion suscritos por el Departamento en cumplimiento del proyecto construir mantener, mejorar y/o rehabilitar la infraestructura socal- deportiva del Departamento del Quindìo.</t>
  </si>
  <si>
    <t>Prestacion de Servicios de Apoyo Tecnico a la supervision en la vigilancia, seguimiento y contral juridico de los contratos suscritos por el Departamento.</t>
  </si>
  <si>
    <t>Asistencia Profesional a la supervision en la vigilancia y seguimiento y control  Financiero y Administrativo de los contratos suscritos en cumplimiento del proyecto.</t>
  </si>
  <si>
    <t>Seguimiento y control administrativo y financiero de las obras y contratos suscritos y en ejecucion por el Departamento en cumplimiento del proyecto construir mantener, mejorar y/o rehabilitar la infraestructura socal-deportiva del Departamento del Quindìo.</t>
  </si>
  <si>
    <t xml:space="preserve">Apoyo tecnico a la Supervision, en la vigilancia, seguimiento y control de las obras  y contratos suscritos, para manterner mejorar y/o rehabilitar la infraestructura social-deportiva del Departamento del Quindio. </t>
  </si>
  <si>
    <t>Mano de obra calificada y/o no calificada necesaria para la ejecucion de obras fìsicas de mantenimiento y/o mejoramiento y/o rehabilitacion y/o atencion de la infraestructura social y deportiva del Departamento del Quindìo</t>
  </si>
  <si>
    <t>Construccion, mejoramiento y/o rehabilitacion de Infraestructura Deportiva del Departamento del Quindio</t>
  </si>
  <si>
    <t>40.1</t>
  </si>
  <si>
    <t>Piscinas construidas y dotadas</t>
  </si>
  <si>
    <t>Apoyo a la supervision en la vigilacia, seguimiento y control juridico a los procesos y contratos de obra fisica en ejecucion, suscritos por el departamento en cumplimiento del proyecto, construir, mantener, mejorar y/o rehabilitar la infraestructura social - deportiva del Departamento del Quindío</t>
  </si>
  <si>
    <t>Seguimiento y control administrativo y financiero de las obrasy contratos suscritos y en ejecucion por el departamento en cumplimiento del proyecto, construir, mantener, mejorar y/o rehabilitar la infraestructura social - deportiva del Departamento del Quindío</t>
  </si>
  <si>
    <t>Seguimiento y control de obras fisicas y procesos que se adelanten en cumplimiento del proyecto</t>
  </si>
  <si>
    <t>Estudios y diseños y/o construcción, mantenimiento, mejoramiento y/o rehabilitacion de piscina en el Departamento del Quindìo</t>
  </si>
  <si>
    <t>Interventoría integral para los contratos que se adelanten en Infraestructura Deportiva.</t>
  </si>
  <si>
    <t>10.4</t>
  </si>
  <si>
    <t>Plazas de mercado adecuadas</t>
  </si>
  <si>
    <t>0308 - 5 - 1 2 13 10 9 - 88</t>
  </si>
  <si>
    <t>202000363-0009</t>
  </si>
  <si>
    <t>Construcción y/o mejoramiento  de la infraestructura turística y/o  productiva y  competitiva       para el desarrollo del Departamento del Quindío</t>
  </si>
  <si>
    <t>Fortalecer de manera eficaz y eficiente  las infraestructuras turistica y productiva del Departamento del Quindío que permita el fortalecimiento  de las variables antes mencionadas  en los diferentes municipios.</t>
  </si>
  <si>
    <t>1-GESTIONAR RECURSOS PARA DESARROLLAR LOS MANTENIMIENTOS PERIODICOS A LOS EQUIPAMIENTOS COLECTIVOS.                                                       2- Aumentar la cobertura y mejoramiento de infraestructura turistica y productiva en los diferentes municipios del Departamento del Quindío</t>
  </si>
  <si>
    <t>27.8</t>
  </si>
  <si>
    <t>Mirador turístico construido</t>
  </si>
  <si>
    <t>0308 - 5 - 1 2 13 27 9 - 88</t>
  </si>
  <si>
    <t>Construcción y/o mejoramiento  de la infraestructura turística y/o  productiva y  competitiva       para el desarrollo del Departamento del Quindío..</t>
  </si>
  <si>
    <t>18.2</t>
  </si>
  <si>
    <t>Infraestructura   vial  con procesos  de construcción, mejoramiento, ampliación, mantenimiento y/o  reforzamiento.</t>
  </si>
  <si>
    <t xml:space="preserve">Infraestructura  vial    construída, mejorada, ampliada,  mantenida, y/o  reforzada </t>
  </si>
  <si>
    <t>0308 - 5 - 1 3 9 18 19 - 20
0308 - 5 - 1 3 9 18 19 - 23
0308 - 5 - 1 3 9 18 19 - 88
0308 - 5 - 1 3 9 18 19 - 89
0308 - 5 - 3 1 2 4 14 9 19 - 20
0308 - 5 - 3 1 2 4 14 9 19 - 23</t>
  </si>
  <si>
    <t>201663000-0019</t>
  </si>
  <si>
    <t>Mantener, mejorar, rehabilitar y/o atender las vías y sus emergencias, en cumplimiento del Plan Vial del Departamento del Quindío.</t>
  </si>
  <si>
    <t>Mantener, mejorar y/o rehabilitar la infraestructura vial del departamento del Quindío.</t>
  </si>
  <si>
    <t xml:space="preserve">Atender oportunamente y con calidad la infraestructura vial del departamento con mantenimiento y rehabilitación </t>
  </si>
  <si>
    <t>Apoyo a la Supervision en la vigilancia, seguimiento y control juridico a los procesos,  y contratos de obra fìsica en ejecucion y suscritos por el Departamento en cumplimiento del proyecto Mantener, mejorar, rehabilitar y/o atender emergencias en las  vías, en cumplimiento del Plan Vial del Departamento del Quindío.</t>
  </si>
  <si>
    <t xml:space="preserve">Suministro de combustible </t>
  </si>
  <si>
    <t>Servicio de Vigilancia en puntos aleatorios</t>
  </si>
  <si>
    <t>Prestacion de Servicios de Asistencia Profesional y/o asistencia tecnica a la supervision en la vigilancia, seguimiento y control juridico de los contratos suscritos en cumplimiento del proyecto.</t>
  </si>
  <si>
    <t>Prestacion de Servicios de Asistencia Tecnica a la supervision  de obras fisicas y procesos que se adelanten en cumplimiento del proyecto</t>
  </si>
  <si>
    <t xml:space="preserve">Prestacion de Servicios Profesionales para la Direccion y la Coordinacion de la maquinaria </t>
  </si>
  <si>
    <t xml:space="preserve">Prestacion de Servicios para la operación de maquinaria pesada, vehiculos y equipos </t>
  </si>
  <si>
    <t xml:space="preserve">Prestacion de Servicios de mano de obra no calificada </t>
  </si>
  <si>
    <t xml:space="preserve">Mano de obra calificada y/o no calificada necesaria para la ejecucion de obras fìsicas de mantenimiento, mejorarimento  de las vìas y sus emergencia en cumplimiento del Plan Vial del Departamento del Quindío.
</t>
  </si>
  <si>
    <t xml:space="preserve">Suministro y/o compraventa de materiales, elementos y  equipos </t>
  </si>
  <si>
    <t>Mantenimiento y/o mejoramiento de las vías secundarias y terciarias en el departamento del Quindío</t>
  </si>
  <si>
    <t>Seguimiento y control administrativo y financiero de las obras y contratos suscritos y en ejecucion por el Departamento en cumplimiento del proyecto Mantener, mejorar, rehabilitar y/o atender emergencias en las  vías, en cumplimiento del Plan Vial del Departamento del Quindío</t>
  </si>
  <si>
    <t>18.3</t>
  </si>
  <si>
    <t xml:space="preserve">Estudios y diseños de infraestructura vial </t>
  </si>
  <si>
    <t>Estudios y diseños de infraestructura vial elaborado</t>
  </si>
  <si>
    <t>0308 - 5 - 1 3 9 18 19 - 88</t>
  </si>
  <si>
    <t>Estudios y diseños de infraestructura vial</t>
  </si>
  <si>
    <t>21.3</t>
  </si>
  <si>
    <t xml:space="preserve">Infraestructura ecoturística construida </t>
  </si>
  <si>
    <t>0308 - 5 - 1 3 13 21 9 - 88</t>
  </si>
  <si>
    <t>23.5</t>
  </si>
  <si>
    <t>Obras de infraestructura para mitigación y atención a desastres</t>
  </si>
  <si>
    <t xml:space="preserve">Obras de infraestructura para mitigación y atención a desastres realizadas </t>
  </si>
  <si>
    <t>33.3</t>
  </si>
  <si>
    <t>Viviendas de Interés Social urbanas mejoradas</t>
  </si>
  <si>
    <t>0308 - 5 - 1 3 7 33 21 - 04
0308 - 5 - 1 3 7 33 21 - 82</t>
  </si>
  <si>
    <t>Mejoramiento de vivienda urbana y/o rural priorizada en el Departamento del Quindio.</t>
  </si>
  <si>
    <t>Mano de obra calificada y/o no calificada necesaria para la ejecucion de obras fìsicas Mejoramiento de vivienda urbana y/o rural priorizada en el Departamento del Quindio.</t>
  </si>
  <si>
    <t>Acceso de la población a los servicios de agua potable y saneamiento básico. "Tú y yo con calidad del agua"</t>
  </si>
  <si>
    <t>34.6</t>
  </si>
  <si>
    <t xml:space="preserve">Adoptar e implementar la Política Publica de Producción Consumo Sostenible y Gestión Integral de Aseo  </t>
  </si>
  <si>
    <t>Política Pública de Producción Consumo Sostenible y Gestión Integral de Aseo  adoptada e implementada.</t>
  </si>
  <si>
    <t>0308 - 5 - 1 3 3 34 10 - 20
0308 - 5 - 1 3 3 34 10 - 27
0308 - 5 - 1 3 3 34 10 - 82
0308 - 5 - 1 3 3 34 10 - 88
0308 - 5 - 1 3 3 34 10 - 90</t>
  </si>
  <si>
    <t>202000363-0010</t>
  </si>
  <si>
    <t>Implementación del Plan departamental para el manejo empresarial de los servicios de agua y saneamiento basico en el departameno del Quindio.</t>
  </si>
  <si>
    <t>Implementar estrategias de planeacion y coordinacion interinstitucional para el manejo de los esquemas de abastecimiento y prestación de los servicos de agua y sanemiento urbanos y rurales</t>
  </si>
  <si>
    <t>*Articular recursos, planificación e inversión en agua y saneamiento básico.
*Implemetar modelos de sostenibilidad para los esquemas de prestación</t>
  </si>
  <si>
    <t>4003018</t>
  </si>
  <si>
    <t xml:space="preserve"> 34.1 </t>
  </si>
  <si>
    <t>Alcantarillados construidos</t>
  </si>
  <si>
    <t>Plantas de tratamiento de aguas residuales  construidas</t>
  </si>
  <si>
    <t xml:space="preserve">
S.G.P. Agua Potable y Saneamiento Básico</t>
  </si>
  <si>
    <t>4003025</t>
  </si>
  <si>
    <t>34.2</t>
  </si>
  <si>
    <t>Servicios de apoyo financiero para la ejecución de proyectos de acueductos y alcantarillado</t>
  </si>
  <si>
    <t>Proyectos de acueducto y alcantarillado en área urbana financiados</t>
  </si>
  <si>
    <t>Superávit  S.G.P. Agua Potable Y Saneamiento Básico</t>
  </si>
  <si>
    <t>4003028</t>
  </si>
  <si>
    <t xml:space="preserve"> 34.4 </t>
  </si>
  <si>
    <t>Servicios de educación informal en agua potable y saneamiento básico</t>
  </si>
  <si>
    <t>Eventos de educación informal en agua y saneamiento básico realizados</t>
  </si>
  <si>
    <t xml:space="preserve"> 34.5 </t>
  </si>
  <si>
    <t>45.10</t>
  </si>
  <si>
    <t>Infraestructura Institucional o  de Edificios Públicos de atención  de servicios ciudadanos con procesos   constructivos   y/o mejorados y/o ampliados, y/o mantenidos, y/o  reforzados</t>
  </si>
  <si>
    <t>0308 - 5 - 1 4 17 45 21 - 165
0308 - 5 - 1 4 17 45 21 - 20</t>
  </si>
  <si>
    <t>Construir, mantener, mejorar y/o rehabilitar la infraestructura institucional o de edificios pùblicos del Departamento del Quindìo.</t>
  </si>
  <si>
    <t>42.7</t>
  </si>
  <si>
    <t>Salones comunales adecuados</t>
  </si>
  <si>
    <t>0308 - 5 - 1 4 16 42 21 - 20
0308 - 5 - 1 4 16 42 21 - 88</t>
  </si>
  <si>
    <t>Mano de obra calificada y/o no calificada necesaria para la ejecucion de obras fìsicas de  mantenimiento y/o mejoramiento de salones comunales del  Departamento del Quindio.</t>
  </si>
  <si>
    <t>JHON FABER CASTRO MANCERA</t>
  </si>
  <si>
    <t>Secretario de Aguas e Infraestructura</t>
  </si>
  <si>
    <t>PLAN DE ACCIÓN
SECRETARIA DE HACIENDA
DICIEMBRE DE 30   DE   2020</t>
  </si>
  <si>
    <t>45.2</t>
  </si>
  <si>
    <t>Estrategia para el mejoramiento del Índice de Desempeño Fiscal en la Administración Departamental.</t>
  </si>
  <si>
    <t>Estrategia  de fortalecimiento  del Índice de Desempeño  Fiscal implementadas.</t>
  </si>
  <si>
    <t>0307 - 5 - 1 4 17 45 16 - 20
0307 - 5 - 1 4 17 45 16 - 56
0307 - 5 - 1 4 17 45 16 - 88
0307 - 5 - 3 1 5 28 88 17 16 - 20</t>
  </si>
  <si>
    <t>201663000-0016</t>
  </si>
  <si>
    <t>Mejoramiento de la sostenibilidad de los procesos de fiscalización liquidación control y cobranza de los tributos en el Departamento del Quindío</t>
  </si>
  <si>
    <t xml:space="preserve">Aumentar los  porcentajes de crecimiento de los ingresos en el Departamento del Quindío, a través de procesos de fiscalización, procedimientos administrativos de cobro coactivo de la cartera morosa y cumplimiento del  Programa Anti contrabando </t>
  </si>
  <si>
    <t>Realizar procesos de fiscalización de las rentas Departamentales, a través de la realización de controles en la liquidación y cobranza  en los tributos con el fin de aumentar los ingresos consolidar la cultura tributaria y aumentar la inversión. 
Llevar a cabo la implementación de los diferentes Procesos Administrativos de Cobro Coactivo sobre aquellos contribuyentes que se encuentran en mora de cancelar sus obligaciones tributarias
Ejecutar el Programa Anti contrabando en el Departamento del Quindío con ocasión de la suscripción del Convenio entre el Departamento del Quindío y la Federación Nacional de Departamentos</t>
  </si>
  <si>
    <t>Ejecutar el proceso de fiscalización tendiente a contribuir al mejoramiento del índice  fiscal</t>
  </si>
  <si>
    <t>Secretaría de Hacienda</t>
  </si>
  <si>
    <t>Ejecutar la estrategia de cobro coactivo acorde al ET Nacional de las diferentes rentas departamentales con el fin de incrementar el índice fiscal.</t>
  </si>
  <si>
    <t>Procedimiento Administrativo de Cobro Coactivo frente a la cartera de las diferentes Rentas del Departamento del Quindío</t>
  </si>
  <si>
    <t>Ejecutar el programa anticontrabando suscrito con la federación Nacional de Departamentos</t>
  </si>
  <si>
    <t>Nación Cofinanciación- Convenio Federación Nacional de Departamentos</t>
  </si>
  <si>
    <t>45.11</t>
  </si>
  <si>
    <t xml:space="preserve">Programa para el cumplimiento de las políticas y prácticas contables para la administración departamental         </t>
  </si>
  <si>
    <t>Programa para el cumplimiento de las políticas y prácticas contables implementado</t>
  </si>
  <si>
    <t>0307 - 5 - 1 4 17 45 17 - 20
0307 - 5 - 1 4 17 45 17 - 88
0307 - 5 - 3 1 5 28 88 17 17 - 20</t>
  </si>
  <si>
    <t>201663000-0017</t>
  </si>
  <si>
    <t xml:space="preserve">Implementación de un programa de gestión financiera para la optimización de los procesos en el área de tesorería, presupuesto y contabilidad en el Departamento del Quindío </t>
  </si>
  <si>
    <t>Fortalecer la Gestión Financiera mediante la consolidación de los Sistemas de Información, implementación de Normas Internacionales de Información Financiera NIIF,  crecimiento real de ingresos, sostenibilidad de la deuda y el manejo de pasivos, a fin de garantizar la confiabilidad de la Información Financiera y aplicación de Normas en las Finanzas Públicas</t>
  </si>
  <si>
    <t>Adoptar el nuevo modelo de información Financiera determinado por las Normas Internacionales de Contabilidad de información financiera NIIF, a fin de garantizar la confiabilidad de la información financiera.</t>
  </si>
  <si>
    <t>Ejecución de Normas Internacionales de Información Financiera (NIIF) y fortalecimiento institucional para el cumplimiento de las políticas y practicas contables en el área de tesorería, Presupuesto y Contabilidad</t>
  </si>
  <si>
    <t>ALEYDA MARIN BETANCOURT</t>
  </si>
  <si>
    <t>Secretario de Hacienda</t>
  </si>
  <si>
    <t xml:space="preserve">PROGRAMACIÓN PLAN DE ACCIÓN 
SECRETARIA DEL INTERIOR 
</t>
  </si>
  <si>
    <t xml:space="preserve">INCLUSIÓN SOCIAL Y EQUIDAD </t>
  </si>
  <si>
    <t>1.1</t>
  </si>
  <si>
    <t>Servicio de asistencia técnica para la articulación de los operadores de los Servicios de justicia</t>
  </si>
  <si>
    <t xml:space="preserve">0309 - 5 - 1 1 18 1 29 - 20
0309 - 5 - 1 1 18 1 29 - 88
0309 - 5 - 3 1 4 23 76 18 29 - 20
</t>
  </si>
  <si>
    <t>201663000-0029</t>
  </si>
  <si>
    <t>Apoyo a la convivencia, justicia y cultura de paz en el Departamento del  Quindio.</t>
  </si>
  <si>
    <t>Reducir la tasa de homicidios en el Quindío.</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</si>
  <si>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</si>
  <si>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Generación y/o apoyo a programas de intervención social y/o de seguridad </t>
  </si>
  <si>
    <t xml:space="preserve">Secretaría del Interior </t>
  </si>
  <si>
    <t xml:space="preserve">Intervenciones Psicosociales y/o de formación productiva integrales en los cinco municipios focalizados </t>
  </si>
  <si>
    <t>Apoyo juridico  para intervenciones focalizadas en poblacion vulnerable</t>
  </si>
  <si>
    <t>Implementación de programas ludicos,culturales y/o deportivos  para población vulnerable en areas focalizadas</t>
  </si>
  <si>
    <t>Seguimiento a la  ejecución de los objetivos del PISCC</t>
  </si>
  <si>
    <t>Formulacion de PISCC para la vigencia 2020-2023</t>
  </si>
  <si>
    <t>Promoción de los métodos de resolución de conflictos. "Tú y yo resolvemos los conflictos"</t>
  </si>
  <si>
    <t>2.1</t>
  </si>
  <si>
    <t>Servicio de asistencia técnica para la implementación de los métodos de resolución de conflictos</t>
  </si>
  <si>
    <t>Instituciones públicas y privadas asistidas técnicamente en métodos de resolución de conflictos</t>
  </si>
  <si>
    <t>0309 - 5 - 1 1 18 2 28 - 20
0309 - 5 - 1 1 18 2 28 - 88
0309 - 5 - 3 1 4 23 75 18 28 - 20</t>
  </si>
  <si>
    <t>201663000-0028</t>
  </si>
  <si>
    <t xml:space="preserve">Construcción integral de la seguridad humana en el Departamento de Quindio.  </t>
  </si>
  <si>
    <t xml:space="preserve">Reducir la tasa de homicidios en el Quindío
Reducir casos de hurto a residencias, comercio y personas.
</t>
  </si>
  <si>
    <t xml:space="preserve">1. Obtención de resultados en las estrategias implementadas en la prevención y mitigación del delito
2. Garantías para el ejercicio  de la libertad en todos sus ámbitos
3. Incremento de  cobertura en instrumentos operativos y logísticos para la atención y prevención del de delito que afectan a la comunidad.
</t>
  </si>
  <si>
    <t>Apoyo para iniciativas,actividades y/o proyectos productivos dirigidos a población de infancia y adolescencia</t>
  </si>
  <si>
    <t>Servicios de apoyo psicosocial para resolucion de conflictos</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</si>
  <si>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</si>
  <si>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</si>
  <si>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</si>
  <si>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
0309 - 5 - 1 1 18 3 28 - 20
0309 - 5 - 1 1 18 3 28 - 88
0309 - 5 - 3 1 4 23 75 18 28 - 20
 </t>
  </si>
  <si>
    <t>Reducir la tasa de homicidios en el Quindío
Reducir casos de hurto a residencias, comercio y personas.</t>
  </si>
  <si>
    <t>Apoyo para iniciativas,actividades y/o proyectos productivos</t>
  </si>
  <si>
    <t>Servicios de apoyo psicosocial para personas privadas de la libertad</t>
  </si>
  <si>
    <t>Programas de fortalecimiento del Sistema de Responsabilidad Penal para adolescentes</t>
  </si>
  <si>
    <t>15.28</t>
  </si>
  <si>
    <t>Servicio de gestión de riesgos y desastres en establecimientos educativos</t>
  </si>
  <si>
    <t>Establecimientos educativos con acciones de gestión del riesgo implementadas</t>
  </si>
  <si>
    <t xml:space="preserve">
0309 - 5 - 1 1 1 15 36 - 88
</t>
  </si>
  <si>
    <t>201663000-0036</t>
  </si>
  <si>
    <t xml:space="preserve">Administración del  riesgo mediante el conocimiento, la reducción y el manejo del desastre  en el Departamento del Quindio. </t>
  </si>
  <si>
    <t>Lograr que las ciudades y los asentamientos humanos sean inclusivos,resilientes y sostenibles (ODS-objetivo 11)</t>
  </si>
  <si>
    <t xml:space="preserve">1. Conocimiento de los riesgos en el departamento.
2. Diseñar modelos de reducción del riesgo en el departamento.
3. Fortalecer las instituciones  para el adecuado manejo de los desastres.  
</t>
  </si>
  <si>
    <t>Formulacion de los planes escolares de gestion del riesgo</t>
  </si>
  <si>
    <t>Actualizacion de los planes escolares de gestion del riesgo</t>
  </si>
  <si>
    <t>Apoyo en la Implementacion de los planes escolares de gestion del riesgo</t>
  </si>
  <si>
    <t>Atención, asistencia y reparación integral a las víctimas. "Tú y yo con reparación integral"</t>
  </si>
  <si>
    <t>35.2</t>
  </si>
  <si>
    <t>Servicio de orientación y comunicación a las víctimas</t>
  </si>
  <si>
    <t>Solicitudes tramitadas</t>
  </si>
  <si>
    <t>0309 - 5 - 1 1 14 35 30 - 20
0309 - 5 - 1 1 14 35 30 - 88
0309 - 5 - 3 1 4 24 78 14 30 - 20</t>
  </si>
  <si>
    <t>201663000-0030</t>
  </si>
  <si>
    <t>Implementación del Plan de Acción Territorial para la prevención, protección, asistencia, atención, reparación integral en el Departamento del Quindio.</t>
  </si>
  <si>
    <t>Incremento del porcentaje de cumplimiento de ley  1448 de 2011 atención a víctimas, que garantice  el goce efectivo de derechos</t>
  </si>
  <si>
    <t xml:space="preserve">1. Entidades territoriales con asignación presupuestal por necesidad identificada 
2.Procesos de paz en ejecución  para el fin del conflicto 
3.Articulación institucional.
</t>
  </si>
  <si>
    <t>Socialización de rutas de protección a las victimas de los 12 municipios del Departamento.</t>
  </si>
  <si>
    <t>Superávit Recurso Ordinario R.O.</t>
  </si>
  <si>
    <t>Apoyo a la educacion  de las victimas del conflicto</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</si>
  <si>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</si>
  <si>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</si>
  <si>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Realizar jornadas de prevencion a vulneraciones de DDHH y DIH a victimas en los 12 municipios del Departamento</t>
  </si>
  <si>
    <t>Equipos tecnologicos para el fortalecimeinto y seguimiento a los procesos con las victimas del conflicto armado en el depto del quindio y los diferentes espcios en los que intervienen</t>
  </si>
  <si>
    <t>Diligenciamiento de  RUSICST y Tablero PAT Departamental</t>
  </si>
  <si>
    <t xml:space="preserve">Brindar asistencia a los 12 municipios del Departamento para las aprobaciones y actualizaciones de los PAT municipales de manera armonica con el PAT departamental. </t>
  </si>
  <si>
    <t>Manejo de administracion de plataformas para la gestion de los procesos para polbacion victima del depto del Quindio</t>
  </si>
  <si>
    <t>Apoyo a productividad de la población víctima</t>
  </si>
  <si>
    <t>Apoyo a procesos de caracterización de los municipios, cuando sea requerido por èstos</t>
  </si>
  <si>
    <t>35.3</t>
  </si>
  <si>
    <t>Servicio de ayuda y atención humanitaria</t>
  </si>
  <si>
    <t>Personas víctimas con ayuda humanitaria</t>
  </si>
  <si>
    <t>Concurrir, complementar y subsidiar los kits de ayuda  humanitaria inmediata en los 12 municipios del Quindio</t>
  </si>
  <si>
    <t xml:space="preserve">Apoyar los procesos de retorno y reubicación de las victimas del conflicto armado, en caso de ser requerido </t>
  </si>
  <si>
    <t>Logística y/o refrigerios</t>
  </si>
  <si>
    <t>Seguimiento a implementación  de la Herramienta de Gestión Local en los 12 municipios del Departamento</t>
  </si>
  <si>
    <t>35.4</t>
  </si>
  <si>
    <t>Servicio de asistencia técnica para la participación de las víctimas</t>
  </si>
  <si>
    <t>Eventos de participación realizados</t>
  </si>
  <si>
    <t>Garantias para Sesiones comité ejecutivo y ética mesa de victimas.</t>
  </si>
  <si>
    <t>Garantias para Sesiones plenario mesa departamental de  victimas</t>
  </si>
  <si>
    <t xml:space="preserve">Apoyo al Plan de Trabajo de la mesa Departamental de Victimas </t>
  </si>
  <si>
    <t>Procesos de articulación asistencia y atención a los municipios y su población víctima Sesiones de Comites y Subcomites</t>
  </si>
  <si>
    <t>Garantias para representates de la mesa departamental de victimas para asistir a las Sesiones del  Comité Departamental de Justicia Transicional y sus respectivos subcomites</t>
  </si>
  <si>
    <t>35.5</t>
  </si>
  <si>
    <t>Servicio de apoyo para la generación de ingresos</t>
  </si>
  <si>
    <t>Hogares con asistencia técnica para la generación de ingresos</t>
  </si>
  <si>
    <t>35.1</t>
  </si>
  <si>
    <t>Servicio de asistencia técnica para la realización de iniciativas de memoria histórica</t>
  </si>
  <si>
    <t>Iniciativas de memoria histórica asistidas técnicamente</t>
  </si>
  <si>
    <t xml:space="preserve">Apoyo a iniciativas que aportan a la Memoria Historica en el Departamento 
</t>
  </si>
  <si>
    <t>Conmemoracion de fechas de memoria Historica dentro del ambito de la Ley de victimas y restitucion de tierras</t>
  </si>
  <si>
    <t>Apoyo a municipios priorizados para reparacion colectiva.</t>
  </si>
  <si>
    <t>37.8</t>
  </si>
  <si>
    <t>Servicio de atención y asistencia para la población excombatiente del Departamento del Quindío</t>
  </si>
  <si>
    <t>Población excombatiente beneficiada</t>
  </si>
  <si>
    <t>0309 - 5 - 1 1 18 37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</si>
  <si>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</si>
  <si>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</si>
  <si>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 facilitar el acceso a la justicia para todos y crear instituciones eficaces, responsables e inclusivas a todos los niveles (ODS 16). </t>
  </si>
  <si>
    <t xml:space="preserve">1. Empleo y control social en las zonas de influencia del comercio de estupefacientes 
2.Control de las organizaciones y  grupos delincuenciales por la influencia de organizaciones de otras regiones  al margen de la ley
3.Complementar las acciones municipales de manera integral
</t>
  </si>
  <si>
    <t>Atención y asistencia a la poblacion excombatiente del depto</t>
  </si>
  <si>
    <t>Apoyo a la productividad de la población excombatiente</t>
  </si>
  <si>
    <t>Jornadas de reconciliacion de la poblacion excombatiente de la sociedad del depto</t>
  </si>
  <si>
    <t>41.3</t>
  </si>
  <si>
    <t>Fortalecimiento institucional a organismos de seguridad</t>
  </si>
  <si>
    <t>Organismos de seguridad fortalecidos</t>
  </si>
  <si>
    <t xml:space="preserve"> 
0309 - 5 - 1 1 18 41 28 - 42
0309 - 5 - 1 1 18 41 28 - 92
0309 - 5 - 3 1 4 23 75 18 28 - 42
</t>
  </si>
  <si>
    <t>Financiación del proyecto de tecnología en seguridad</t>
  </si>
  <si>
    <t>Fondo de Seguridad 5%</t>
  </si>
  <si>
    <t xml:space="preserve">Financiación y/o coofinaciación de proyectos de móvilidad </t>
  </si>
  <si>
    <t>Superávit Fondo de Seguridad 5%</t>
  </si>
  <si>
    <t>Suministro de combustible</t>
  </si>
  <si>
    <t>Servicios de apoyo en procesos tecnológicos de seguridad en el departamento</t>
  </si>
  <si>
    <t>Servicios de apoyo para los procesos de adquisición de bienes y servicios con cargo a los organismos de seguridad del departamento</t>
  </si>
  <si>
    <t>Servicios de orden social,  Control y Fiscalización de Sustancias Químicas y Estupefacientes en el departamento</t>
  </si>
  <si>
    <t>Pago fuentes humanas</t>
  </si>
  <si>
    <t>Mantenimiento, adecuación y/o construcción de Instalaciones de Policía, Militares y/o Carcelarias del Departamento</t>
  </si>
  <si>
    <t>Adquisición de bienes y suministro, para material de intendencia y logística</t>
  </si>
  <si>
    <t>Servicios de apoyo en estudios financieros y ecónomicos de los diferentes procesos para los organismos de seguridad</t>
  </si>
  <si>
    <t xml:space="preserve">Prestación de Servicios y/o suministro de logística, material de intendencia o demás programas y/o estrategias relacionados con los organismos de seguridad </t>
  </si>
  <si>
    <t>41.2</t>
  </si>
  <si>
    <t>Medidas implementadas en cumplimiento de las obligaciones internacionales en materia de Derechos Humanos y Derecho Internacional Humanitario</t>
  </si>
  <si>
    <t xml:space="preserve">0309 - 5 - 1 1 18 41 32 - 20
0309 - 5 - 1 1 18 41 32 - 88
0309 - 5 - 3 1 4 24 79 14 32 - 20
</t>
  </si>
  <si>
    <t>Papeleria impresa</t>
  </si>
  <si>
    <t>logistica y refrigerios</t>
  </si>
  <si>
    <t xml:space="preserve">Actualización e implementación del plan integral de prevención de vulneración de DDHH  </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</si>
  <si>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</si>
  <si>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</si>
  <si>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</si>
  <si>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 xml:space="preserve">Jornadas de prevención del delito de trata de personas  en los 12 municipios del Departamento </t>
  </si>
  <si>
    <t>Ayuda Humanitaria para victimas de trata de personas</t>
  </si>
  <si>
    <t>41.1</t>
  </si>
  <si>
    <t>Servicio de asistencia tecnica</t>
  </si>
  <si>
    <t>Instancias territoriales de coordinación institucional asistidas y apoyadas</t>
  </si>
  <si>
    <t xml:space="preserve">0309 - 5 - 1 1 16 41 39 - 20
0309 - 5 - 1 1 16 41 39 - 88
</t>
  </si>
  <si>
    <t>201663000-0039</t>
  </si>
  <si>
    <t>Construcción de la participación ciudadana y control social en el Departamento del Quindio</t>
  </si>
  <si>
    <t>Elevar el promedio de la participación de la ciudadanía en los procesos de elección popular del cuatrenio.</t>
  </si>
  <si>
    <t xml:space="preserve">1.  Implementación y difusión  en las entidades territoriales de los canales  y medios para la participación de los ciudadanos.
2. Convicción de la comunidad  en los programas encaminados a brindar el acercamiento a las instituciones públicas
3.  Fortalecimiento en la estructuración de políticas, programas, legislación, proyectos sociales y desarrollo comunitario.
</t>
  </si>
  <si>
    <t>Servicios de apoyo a la operatividad del consejo de participación ciudadana</t>
  </si>
  <si>
    <t>Servicios promocionales y publicitarios de promocion de la participacion, convivencia y seguridad ciudadana</t>
  </si>
  <si>
    <t>Servicios de apoyo en actividades de promocion de la participacion, convivencia y seguridad ciudadana</t>
  </si>
  <si>
    <t>Apoyo en la realización de eventos para el  fortalecimiento a la participación, convivencia y seguridad ciudadana</t>
  </si>
  <si>
    <t>23.1</t>
  </si>
  <si>
    <t>Documentos de estudios técnicos para el ordenamiento ambiental territorial</t>
  </si>
  <si>
    <t>Documentos de estudios técnicos para el conocimiento y reducción del riesgo de desastres elaborados</t>
  </si>
  <si>
    <t>0309 - 5 - 1 3 12 23 36 - 88</t>
  </si>
  <si>
    <t xml:space="preserve">Realizar estudios de riesgo y análisis de vulnerabilidad en  los municipios del departamento </t>
  </si>
  <si>
    <t>Intervenciones, obras de ingeniería y/o análisis vulnerabilidad</t>
  </si>
  <si>
    <t>Prevención y atención de desastres y emergencias. "Tú y yo preparados en gestión del riesgo"</t>
  </si>
  <si>
    <t>43.1</t>
  </si>
  <si>
    <t>Servicio de educación informal</t>
  </si>
  <si>
    <t>0309 - 5 - 1 3 12 43 36 - 88   
0309 - 5 - 3 1 4 25 81 12 36 - 20</t>
  </si>
  <si>
    <t xml:space="preserve">Administración del  riesgo mediante el conocimiento, la reducción y el manejo del desastres  en el Departamento del Quindio. </t>
  </si>
  <si>
    <t>Apoyo en formacion y capacitación de gestión del riesgo de desastres</t>
  </si>
  <si>
    <t>Fortalecimiento instituciones de socorro</t>
  </si>
  <si>
    <t>Impresos y material didactico</t>
  </si>
  <si>
    <t>Logistica para la organización de foros, talleres, eventos y/o actividades</t>
  </si>
  <si>
    <t>43.2</t>
  </si>
  <si>
    <t>Servicio de asistencia técnica</t>
  </si>
  <si>
    <t>Instancias territoriales asistidas</t>
  </si>
  <si>
    <t>Mantenimiento red de comunicaciones</t>
  </si>
  <si>
    <t>Fortalecimiento de la red de comunicaciones de emergencias del departamento</t>
  </si>
  <si>
    <t>Procesos de atención a PQRS y servicios demandados por la de la comunidad</t>
  </si>
  <si>
    <t>Adquisición, actualización y desarrollo de tecnologias en gestion del riesgo de desastres</t>
  </si>
  <si>
    <t>Formacion y capacitacion en Gestión del Riesgo de Desastres</t>
  </si>
  <si>
    <t>Apoyo a los Consejos Municipales de Gestión del Riesgo</t>
  </si>
  <si>
    <t>Fortalecimiento  a las instituciones del Consejo Departamental de Gestión del Riesgo de Desastres</t>
  </si>
  <si>
    <t>Prestación de servicio de transporte</t>
  </si>
  <si>
    <t>Apoyar y fortalecer el sistema de alertas tempranas en el departamento del QUindio</t>
  </si>
  <si>
    <t>Fortalecer el funcionamiento operativo de la sala de crisi del departamento</t>
  </si>
  <si>
    <t>43.3</t>
  </si>
  <si>
    <t>Servicio de atención a emergencias y desastres</t>
  </si>
  <si>
    <t>Centro de reserva  para la atención a emergencias y desastres dotado</t>
  </si>
  <si>
    <t>0309 - 5 - 1 3 12 43 38 - 88
0309 - 5 - 3 1 4 25 82 12 38 - 20</t>
  </si>
  <si>
    <t>201663000-0038</t>
  </si>
  <si>
    <t>Apoyo institucional en la gestión del riesgo  en el Departamento del Quindio</t>
  </si>
  <si>
    <t>Lograr que las ciudades y los asentamientos humanos sean inclusivos, resilientes y sostenibles (ODS-objetivo 11)</t>
  </si>
  <si>
    <t xml:space="preserve">1. Cumplimiento de los protocolos para la preparación y manejo de la emergencia.
2. Destinación de recursos en el ámbito local para la atención de las emergencias.
</t>
  </si>
  <si>
    <t xml:space="preserve">Apoyo para la entrega de ayuda humanitaria </t>
  </si>
  <si>
    <t>Suministro de Ayuda  Humanitaria</t>
  </si>
  <si>
    <t>42.8</t>
  </si>
  <si>
    <t>Iniciativas para la promoción de la participación ciudadana implementada.</t>
  </si>
  <si>
    <t xml:space="preserve">0309 - 5 - 1 4 16 42 39 - 20
0309 - 5 - 1 4 16 42 39 - 88
0309 - 5 - 3 1 5 27 85 16 39 - 20  
                                                                                                                                                                                                                                                                                       </t>
  </si>
  <si>
    <t>Servicios como apoyo a estrategías de participación</t>
  </si>
  <si>
    <t xml:space="preserve">Celebración de la semana de participación </t>
  </si>
  <si>
    <t>Realización de eventos para el  fortalecimiento a la participación ciudadana y control social</t>
  </si>
  <si>
    <t>Apoyar las Iniciativas para la promoción de la participación femenina en escenarios sociales y políticos implementada.</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</si>
  <si>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</si>
  <si>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</si>
  <si>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</si>
  <si>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</si>
  <si>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</si>
  <si>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42.9</t>
  </si>
  <si>
    <t>Implementar la Política de Libertad Religiosa</t>
  </si>
  <si>
    <t>Política de Libertad Religiosa Implementado</t>
  </si>
  <si>
    <t>Servicios de apoyo para la operatividad  del comité de libertad religiosa</t>
  </si>
  <si>
    <t>Desarrollar las actividades propias  de la implementación de la Política Pública de Libertad Religiosa, cultos y conciencia.</t>
  </si>
  <si>
    <t>Materíal pedagógico y/o promocional relacionado</t>
  </si>
  <si>
    <t>Adquisición de Equipos tecnológicos</t>
  </si>
  <si>
    <t>Logistica, transporte, regrigerios e impresos</t>
  </si>
  <si>
    <t>42.5</t>
  </si>
  <si>
    <t>Fortalecimiento de los organismos  de acción comunal (OAC)  de los doce municipios del Departamento en lo relacionado a sus procesos formativos, participativos, de organización y  gestión.</t>
  </si>
  <si>
    <t>Municipos con organismos de acción comunal fortalecidos.</t>
  </si>
  <si>
    <t>0309 - 5 - 1 4 16 42 40 - 20
0309 - 5 - 1 4 16 42 40 - 88
0309 - 5 - 3 1 5 27 86 16 40 - 20</t>
  </si>
  <si>
    <t>201663000-0040</t>
  </si>
  <si>
    <t xml:space="preserve">Desarrollo de los Organismos Comunales en el Departamento del Quindio </t>
  </si>
  <si>
    <t xml:space="preserve">Consolidar mecanismos  de integración  regional y municipal </t>
  </si>
  <si>
    <t>1.  Fortalecer la estructuración de programas de capacitación en legislación, proyectos sociales y desarrollo comunitario.
 2. Mejoramiento en  los procesos de inspección, vigilancia y control realizados a los organismos comunales.</t>
  </si>
  <si>
    <t>Servicios como apoyo al fortalecimiento de los organismos  comunales</t>
  </si>
  <si>
    <t>Desarrollo de actividades de formación y capacitación</t>
  </si>
  <si>
    <t xml:space="preserve">Material pedagogíco y/o promocional </t>
  </si>
  <si>
    <t>Apoyo para la promoción,  fortalecimiento y desarrollo de proyectos de  los organismos comunales</t>
  </si>
  <si>
    <t>Actividades de promoción y participación de la Organización Comunal</t>
  </si>
  <si>
    <t>42.6</t>
  </si>
  <si>
    <t xml:space="preserve">Formulación de la  Política Pública Departamental para la  Acción Comunal </t>
  </si>
  <si>
    <t>Una Política Pública formulada.</t>
  </si>
  <si>
    <t>0309 - 5 - 1 4 16 42 42 - 20
0309 - 5 - 1 4 16 42 42 - 88
0309 - 5 - 3 1 5 26 84 16 42 - 20</t>
  </si>
  <si>
    <t>201663000-0042</t>
  </si>
  <si>
    <t xml:space="preserve">Fortalecimiento de las veedurias ciudadanas en el Departamento del Quindio </t>
  </si>
  <si>
    <t xml:space="preserve">1.  Conocimiento de la legislación que permite el ejercicio  del control social 
2.  Difusión masiva sobre  el ejercicio del control social 
</t>
  </si>
  <si>
    <t>Servicio como apoyo a las estrategías de fortalecimiento a las veedurias ciudadanas</t>
  </si>
  <si>
    <t>recurso ordinario</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</si>
  <si>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</si>
  <si>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</si>
  <si>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</si>
  <si>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</si>
  <si>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JAIME ANDRÉS PÉREZ COTRINO</t>
  </si>
  <si>
    <t>Secretarío del Interior</t>
  </si>
  <si>
    <t>0304 - 5 - 1 4 17 45 3 - 88</t>
  </si>
  <si>
    <t>0304 - 5 - 1 4 17 45 4 - 88</t>
  </si>
  <si>
    <t>0304 - 5 - 1 4 16 42 5 - 88</t>
  </si>
  <si>
    <t>309 - 5 - 1 3 9 23 19 - 23 
0308 - 5 - 1 3 9 23 19 - 88</t>
  </si>
  <si>
    <t>0308 - 5 - 1 1 4 40 21 - 04 
0308 - 5 - 1 1 4 40 21 - 82</t>
  </si>
  <si>
    <t>Estampilla Pro Desarrollo</t>
  </si>
  <si>
    <t>Sobretasa ACPM</t>
  </si>
  <si>
    <t>Superavit Estampilla Prodesarrollo</t>
  </si>
  <si>
    <t xml:space="preserve">Superavit Sobretasa ACPM </t>
  </si>
  <si>
    <t>Recurso Póliza Incendio Predio La Rusia</t>
  </si>
  <si>
    <t>Procesos de Fiscalización sobre  las Rentas Departamentales</t>
  </si>
  <si>
    <t xml:space="preserve">Impuesto al Registro 
</t>
  </si>
  <si>
    <t>Estampilla Pro Adulto Mayor</t>
  </si>
  <si>
    <t>Superávit Estampilla Pro Adulto Mayor</t>
  </si>
  <si>
    <t>Ministerio del Deporte</t>
  </si>
  <si>
    <t>Rendicmiento Financiero</t>
  </si>
  <si>
    <t>Monopolio</t>
  </si>
  <si>
    <t>Recursos del Balance Ipoconsumo 2018</t>
  </si>
  <si>
    <t>Recursos del Balance Cigarrillos Nacionales y Extranjeros 70% 2018</t>
  </si>
  <si>
    <t>Recursos del Balance Superávit Recurso</t>
  </si>
  <si>
    <t>Recursos del Balance Monopolio  2018</t>
  </si>
  <si>
    <t>Impuesto al Consumo</t>
  </si>
  <si>
    <t>Recurso del Balance Cigarrillo</t>
  </si>
  <si>
    <t xml:space="preserve"> INCLUSION SOCIAL Y EQUIDAD</t>
  </si>
  <si>
    <t xml:space="preserve">Inspección, vigilancia y control. "Tú y yo con salud certificada" </t>
  </si>
  <si>
    <t xml:space="preserve">Implementación del modelo operativo de Inspección, Vigilancia y Control IVC sanitario en los municipios de competencia departamental. </t>
  </si>
  <si>
    <t xml:space="preserve">Modelo de IVC sanitario operando </t>
  </si>
  <si>
    <t>1803 - 5 - 1 1 2 11 132 - 61</t>
  </si>
  <si>
    <t>201663000-0132</t>
  </si>
  <si>
    <t>Aprovechamiento biológico y consumo de  alimentos idóneos  en el Departamento del Quindio</t>
  </si>
  <si>
    <t>Disminuir o mantener la proporción de niños menores de 5 años en riesgo de desnutrición moderada o severa aguda</t>
  </si>
  <si>
    <t>* Fortalecer la estrategia que determine el número de brotes de enfermedades transmitidas por alimentos (ETA)
* Cumplir con  el tiempo de la practica de la lactancia Materna exclusiva.
* Fortalecer la  atencion nutricional en poblaciones indigenas del departamento.</t>
  </si>
  <si>
    <t>Articular acciones de información, educación y comunicación, relacionada con la manipulación adecuada de alimentos</t>
  </si>
  <si>
    <r>
      <t xml:space="preserve"> </t>
    </r>
    <r>
      <rPr>
        <sz val="12"/>
        <color rgb="FF000000"/>
        <rFont val="Arial"/>
        <family val="2"/>
      </rPr>
      <t>SGP Salud Publica C.S.F</t>
    </r>
  </si>
  <si>
    <t>N/A</t>
  </si>
  <si>
    <t>Secretaría de Salud</t>
  </si>
  <si>
    <t>Realizar acompañamiento en establecimientos educativos en el marco del programa de alimentación escolar PAE y en poblaciones vulnerables.</t>
  </si>
  <si>
    <t>Realizar acompañamiento en la implementación en guías alimentarias basadas en alimentos y estilos de vida saludable.</t>
  </si>
  <si>
    <t>Realizar vigilancia en establecimientos educativos en el marco del programa de alimentación escolar PAE y en poblaciones vulnerables.</t>
  </si>
  <si>
    <t>Realizar capacitación en guías alimentarias basadas en alimentos y estilos de vida saludable.</t>
  </si>
  <si>
    <t>Servicio de concepto sanitario</t>
  </si>
  <si>
    <t>Conceptos sanitarios expedidos</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</si>
  <si>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</si>
  <si>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</si>
  <si>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</si>
  <si>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 Aumentar la cobertura en acciones de inspeccion vigilancia y control.
* Articular los sistemas de vigilancia relacionados al control sanitario</t>
  </si>
  <si>
    <t>Realizar inspección, vigilancia y control a objetos de interés sanitario con criterio de riesgo alto generadores de residuos peligrosos con riesgo biológico en los municipios de competencia departamental.</t>
  </si>
  <si>
    <t>SGP SALUD  PUBLICA C.S.F</t>
  </si>
  <si>
    <t>Generar  espacios  intersectoriales  para  la  gestión integral  de la salud ambiental, a través de consejo territorial de salud ambiental COTSA y sus mesas técnicas</t>
  </si>
  <si>
    <t xml:space="preserve">Realizar inspección vigilancia y control de las condiciones de seguridad,  higiénico sanitarias y ambientales a los objetos de interés comercial general y en saneamiento básico como  establecimientos de vivienda Transitoria,  comercio en general </t>
  </si>
  <si>
    <t>Servicio de asistencia técnica en inspección, vigilancia y control</t>
  </si>
  <si>
    <t>Asistencias técnica en Inspección, Vigilancia y Control realizadas</t>
  </si>
  <si>
    <t xml:space="preserve">Realizar visitas de acompañamiento a las instituciones o establecimientos farmacéuticos para la destrucción de medicamentos de control especial-monopolio del estado cuando lo requieran.  </t>
  </si>
  <si>
    <t>SUPERAVIT FONDE DE ESTUPEFACIENTES</t>
  </si>
  <si>
    <t xml:space="preserve">Otorgar actos administrativos que autoricen el manejo de medicamentos  de control especial a establecimientos o instituciones prestadoras de servicios de salud siempre y cuando se cumplan con todos los requerimientos normativos. </t>
  </si>
  <si>
    <t>Garantizar la adquisición de medicamentos de control monopolio del estado</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</si>
  <si>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</si>
  <si>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</si>
  <si>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Realizar inspección vigilancia y control de las condiciones de seguridad,  higiénico sanitarias y ambientales a los objetos de interés comercial, tales que manejen sustancias químicas y residuos peligrosos con riesgo biológico, incluyendo los objetos de interés en saneamiento básico, </t>
  </si>
  <si>
    <t xml:space="preserve">Realizar vigilancia epidemiológica de plaguicidas en el marco del programa VEO con la toma de muestras de Acetilcolinesterasa en sangre a los individuos expuestos a plaguicidas  Organofosforados y Carbamatos.
</t>
  </si>
  <si>
    <t>Análisis y seguimiento al comportamiento de los eventos por intoxicaciones de sustancias químicas  ( metales, plaguicidas, solventes , otras sustancias  y gases) generada por el Sistema de Vigilancia y fuentes externas. realizando  asistencia técnica  a los actores de vigilancia en salud publica  en el departamento.</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</si>
  <si>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</si>
  <si>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Realizar inspección  vigilancia y control para verificar las condiciones técnicas, higiénico sanitarias locativas y de calidad a los establecimientos farmacéuticos en los 12 municipios del departamento del Quindío.</t>
  </si>
  <si>
    <t>FONDO DE ESTUPEFACIENTES</t>
  </si>
  <si>
    <t xml:space="preserve">Suministrar medicamentos de programas de control especial - monopolio del estado a los establecimientos farmacéuticos autorizados o IPS´s que lo requieran. </t>
  </si>
  <si>
    <t>Realizar visitas a Establecimientos Farmacéuticos de acuerdo a los productos notificados por el Programa delegaciones INVIMA  en los 12 municipios del Departamento del Quindío.</t>
  </si>
  <si>
    <t xml:space="preserve">adquirir los medicamentos monopolio del estado con el fondo nacional de estupefacientes de conformidad  con los índices de consumo </t>
  </si>
  <si>
    <t>Pago de nomina de regentes de farmacia</t>
  </si>
  <si>
    <t>Servicio de promoción, prevención, vigilancia y control de vectores y zoonosis</t>
  </si>
  <si>
    <t>Municipios categorías 4, 5 y 6 que formulen y ejecuten real y efectivamente acciones de promoción, prevención, vigilancia y control de vectores y zoonosis realizados</t>
  </si>
  <si>
    <t xml:space="preserve">Realizar  acciones de intervención comunitaria  en el marco de la implementación de las estrategias de gestión integral para mitigar las contingencias y daños producidos por enfermedades transmisibles, zoonosis y vectores.
</t>
  </si>
  <si>
    <t>Servicio de evaluación, aprobación y seguimiento de planes de gestión integral del riesgo</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</si>
  <si>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</si>
  <si>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</si>
  <si>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Generar  espacios  intersectoriales  para  la  construcción y actualización de los mapas de riesgo de calidad de agua de consumo humano  de acuerdo a la Resolución 4716 de 2010)</t>
  </si>
  <si>
    <t xml:space="preserve">Vigilancia en los sistemas de potabilización, mediante la  de la aplicación de buenas practicas sanitarias y reporte de muestras de agua potable.
</t>
  </si>
  <si>
    <t xml:space="preserve">Realizar análisis de la persistencia y aparición de factores de riesgo en las fuentes abastecedoras con el fin de generar la actualización anual de los mapas de riesgo de calidad de agua para consumo humano
</t>
  </si>
  <si>
    <t>Servicio de inspección, vigilancia y control</t>
  </si>
  <si>
    <t xml:space="preserve">Realizar inspección  vigilancia y control  de las  condiciones   higiénico sanitarias , locativas y de  manejo y uso  de los productos químicos peligrosos  en   los establecimientos de alto riesgo ubicados en los 11  municipios  de competencia departamental </t>
  </si>
  <si>
    <t xml:space="preserve">realizar  inspección  vigilancia y control   de las condiciones sanitarias y protocolos de bioseguridad en los establecimientos  con actividad económica de estética ornamental , salas de belleza y peluquerías </t>
  </si>
  <si>
    <t>Visitas de inspección vigilancia y control  sistemas potabilización de agua y fuentes de abastecimiento</t>
  </si>
  <si>
    <t>Documentos técnicos publicados y/o socializados</t>
  </si>
  <si>
    <t>201663000-0148</t>
  </si>
  <si>
    <t>Implementación de programas de promoción social en poblaciones  especiales en el Departamento del Quindío.</t>
  </si>
  <si>
    <t>Fortalecer la gestión intersectorial en salud de los grupos con alta vulnerabilidad</t>
  </si>
  <si>
    <t xml:space="preserve">*Garantizar el acceso en la prestación de los servicios de salud.
*mplementar programas de participación social que garanticen los derechos de los grupos vulnerables.
*Consolidar los programas de atención a la primera infancia.
*Fortalecer atención integral a poblaciones vulnerables </t>
  </si>
  <si>
    <t>Realizar capacitaciones en el reconocimiento de la familia como un determinante del desarrollo infantil, reflejado  en el planteamiento y desarrollo de estrategias para promover  el cuidado y afecto familiar en el departamento del Quindío.</t>
  </si>
  <si>
    <t>61</t>
  </si>
  <si>
    <t>SGP Salud Pública</t>
  </si>
  <si>
    <t>Sensibilización  Prevención sobre el delito de trata de personas en los  municipios del Departamento,</t>
  </si>
  <si>
    <t>Realizar actividades de intercambio intergeneracional promoviendo el envejecimiento activo en los 11 Municipios del Departamento (2 escuelas, e colegios Vs CBA)</t>
  </si>
  <si>
    <t>Capacitar a EPS IPS en la garantía de la adecuación de los servicios  de salud con perspectiva de genero, con atención humanizada y de calidad de acuerdo con las diferentes necesidades de hombre mujeres según edad, pertenencia étnica, discapacidad orientación sexual e identidad de genero y de acuerdo a los diferentes factores q generen o aumenten la vulnerabilidad.</t>
  </si>
  <si>
    <t>Realizar acciones de atención psicosocial a victimas del conflicto armado en municipios de competencia departamental</t>
  </si>
  <si>
    <t>Brindar capacitaciones en Deberes y Derechos en Salud a las poblaciones vulnerables personas mayores, afrocolombianos, niños niñas y adolescentes, victimas del conflicto, población LGTBI, población en proceso de reinserción, indígenas, personas con discapacidad, habitante de calle.</t>
  </si>
  <si>
    <t>Servicio de adopción y seguimiento de acciones y medidas especiales</t>
  </si>
  <si>
    <t>Acciones y medidas especiales ejecutadas</t>
  </si>
  <si>
    <t>Realizar Asistencia al  Programa de Atención Psicosocial y Salud Integral a Víctimas PAPSIVI en los municipios objeto de atención</t>
  </si>
  <si>
    <t>Realizar el cargue trimestral de la información sobre la atención psicosocial a las Victimas en el aplicativo del PAPSIVI.</t>
  </si>
  <si>
    <t>Realizar capacitaciones en deberes y derechos en salud a la ´población Victima con enfoque diferencial.</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</si>
  <si>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</si>
  <si>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</si>
  <si>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resolución 1904 (salud sexual y reproductiva PcD).</t>
  </si>
  <si>
    <t xml:space="preserve">brindar asistencia técnica para el fortalecimiento de los comités municipales de Discapacidad, dirigida  a los enlaces de discapacidad de los 12 municipios del Departamento. </t>
  </si>
  <si>
    <t>Realizar visitas de asistencia, seguimiento y verificación de acceso, accesibilidad, red de servicios contratada, referencia y contrarreferencia en la prestación de servicios de salud a las personas con discapacidad en la EAPB.</t>
  </si>
  <si>
    <t>Apoyar la realización de intervenciones concernientes a la promoción de practicas claves en la estrategia AIPI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</si>
  <si>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</si>
  <si>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</si>
  <si>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Capacitar en deberes y derechos en salud a la población en condición de vulnerabilidad (Etnias, victimas, niñas niños adolescentes, personas mayores, población LGTBI, personas con discapacidad)</t>
  </si>
  <si>
    <t>Acciones de asistencia técnica en la verificación en la capacidad de atención de personas mayores en los centros de bienestar del anciano CVA y centros vida CD</t>
  </si>
  <si>
    <t xml:space="preserve">Realizar acciones de promoción y prevención en salud a la población LGBTI del departamento </t>
  </si>
  <si>
    <t>Servicio de análisis de laboratorio</t>
  </si>
  <si>
    <t>Análisis realizados</t>
  </si>
  <si>
    <t>201663000-0151</t>
  </si>
  <si>
    <t xml:space="preserve">Fortalecimiento de las actividades de vigilancia y control del laboratorio de salud pública en el Departamento del Quindio </t>
  </si>
  <si>
    <t>Mejorar la capacidad analítica del LSP Departamental  para dar respuesta  a las necesidades del Sistema de Vigilancia en Salud Pública</t>
  </si>
  <si>
    <t>*Garantizar equipos e insumos medios y reactivos para la realización  de los análisis normados.
*Optimizar los procesos contractuales desde el LSP y  la DTS.
*Adecuar infraestructura que de cumplimiento para el buen  funcionamiento del LSP</t>
  </si>
  <si>
    <t xml:space="preserve">Compra de reactivos, insumos y medios </t>
  </si>
  <si>
    <t>Compra de equipos de laboratorio</t>
  </si>
  <si>
    <t>Realizar análisis de muestras de alimentos, aguas, bebidas alcohólicas  que llegan al laboratorio en cumplimiento de la programación y las muestras para ETAS Y  vigilancia que lleguen al laboratorio</t>
  </si>
  <si>
    <t>Realizar análisis de muestras para la vigilancia de enfermedades de interés en salud publica enviados por los laboratorios de la red.</t>
  </si>
  <si>
    <t xml:space="preserve">TRANSFERENCIAS DE LA NACION </t>
  </si>
  <si>
    <t>Realizar evaluación externa indirecta de citologías de cuello uterino a los laboratorios de la red</t>
  </si>
  <si>
    <t>Realizar la vigilancia entomológica en los municipios del departamento del Quindío.</t>
  </si>
  <si>
    <t>Servicio de auditoría y visitas inspectivas</t>
  </si>
  <si>
    <t>Auditorías y visitas inspectivas realizadas</t>
  </si>
  <si>
    <t>Ejecutar el sistema de gestión de calidad y aseguramiento de metrología en el laboratorio de salud publica.</t>
  </si>
  <si>
    <t>Superavit SGP Salud Pública</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</si>
  <si>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</si>
  <si>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</si>
  <si>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Realizar el mantenimiento preventivo y correctivo de los equipos de laboratorio.  </t>
  </si>
  <si>
    <t xml:space="preserve">Informes de los resultados obtenidos en la vigilancia sanitaria </t>
  </si>
  <si>
    <t>Realizar la calibración de los equipos del laboratorio</t>
  </si>
  <si>
    <t>Servicio de información de vigilancia epidemiológica</t>
  </si>
  <si>
    <t>Informes de evento generados en la vigencia</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</si>
  <si>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</si>
  <si>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</si>
  <si>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</si>
  <si>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 xml:space="preserve">*Aumentar la participación comunitaria en acciones ineherentes al sistema de vigilancia en salud publica.
*Fortalecer  la capacidad instalada en los niveles institucionales y municipales frente al desarrollo de los procesos de Vigilancia en Salud Pública </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</si>
  <si>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</si>
  <si>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</si>
  <si>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</si>
  <si>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</si>
  <si>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</si>
  <si>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</si>
  <si>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</si>
  <si>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</si>
  <si>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</si>
  <si>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 xml:space="preserve">Gestión del proceso de notificación  al SIVIGILA  y apoyo al reporte de las Estadísticas Vitales de las situaciones generadas por la  COVID19 </t>
  </si>
  <si>
    <t>170</t>
  </si>
  <si>
    <t>Investigación epidemiológica de casos y búsqueda de contactos</t>
  </si>
  <si>
    <t>Análisis de la información COVID 19 para el Departamento del Quindío</t>
  </si>
  <si>
    <t>Asistencias técnicas realizadas</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</si>
  <si>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</si>
  <si>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</si>
  <si>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</si>
  <si>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
*Capacitar en los procesos de gestion tecnica en salud.
*Realizar asistencia técnica en la construcción y ejecución del plan bienal de inversiones, a catorce (14) Empresas sociales del estado (ESE) del departamento.</t>
  </si>
  <si>
    <t xml:space="preserve">Verificar el cumplimiento de oportunidad en el reporte de información financiera mediante la circular única </t>
  </si>
  <si>
    <t>88</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</si>
  <si>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</si>
  <si>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</si>
  <si>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</si>
  <si>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Usuarios del sistema</t>
  </si>
  <si>
    <t>201663000-0158</t>
  </si>
  <si>
    <t>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</si>
  <si>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</si>
  <si>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 xml:space="preserve">*Fortalecer los procesos de implementacion, auditoria y seguimiento. 
*Asegurar la totalidad de los estandares establecidos en el sistema de habilitacion . 
*Garantizar eficiencia en el establecimiento de los indicadores de seguimiento a riesgo 
              </t>
  </si>
  <si>
    <t>Verificación de los requisitos de habilitación</t>
  </si>
  <si>
    <t>20</t>
  </si>
  <si>
    <t>Realizar capacitación del recurso humano de las ESES, IPS y EPS Tema del PAMEC, indicadores de calidad y circular 012 de 2016</t>
  </si>
  <si>
    <t>Servicio de certificaciones en buenas practicas</t>
  </si>
  <si>
    <t>Certificaciones expedidas</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</si>
  <si>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</si>
  <si>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</si>
  <si>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</si>
  <si>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</si>
  <si>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</si>
  <si>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</si>
  <si>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Servicios de comunicación y divulgación en inspección, vigilancia y control</t>
  </si>
  <si>
    <t>Eventos de rendición de cuentas realizados</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</si>
  <si>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</si>
  <si>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</si>
  <si>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</si>
  <si>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 xml:space="preserve">*Fortaleza en la planificacion, seguimiento y evaluacion de objetivos de S.D.S.
*Garantizar eficiencia en el establecimiento de los indicadores de seguimiento a riesgo </t>
  </si>
  <si>
    <t>Definir mecanismos para la gestión de la información en la S.D.S</t>
  </si>
  <si>
    <t>72</t>
  </si>
  <si>
    <t>Rentas cedidas subcuenta otros gastos en salud</t>
  </si>
  <si>
    <t>Servicio del ejercicio del procedimiento administrativo sancionatorio</t>
  </si>
  <si>
    <t xml:space="preserve">Procesos con aplicación del procedimiento administrativo sancionatorio tramitados </t>
  </si>
  <si>
    <t>Evaluar la oportunidad de las respuestas a los organismos de control</t>
  </si>
  <si>
    <t>Servicio de gestión de peticiones, quejas, reclamos y denuncias</t>
  </si>
  <si>
    <t>Preguntas Quejas Reclamos y Denuncias Gestionadas</t>
  </si>
  <si>
    <t>Establecer mecanismos eficientes de respuesta al usuario</t>
  </si>
  <si>
    <t>Servicio de implementación de estrategias para el fortalecimiento del control social en salud</t>
  </si>
  <si>
    <t>Estrategias para el fortalecimiento del control social en salud implementadas</t>
  </si>
  <si>
    <t>Realizar seguimiento a los diferentes instrumentos de planificación de la S.D.S</t>
  </si>
  <si>
    <t>Realizar actividades de planeación para la S.D.S aplicando los lineamientos normativos vigentes</t>
  </si>
  <si>
    <t>Salud Publica, "Tu y Yo con salud de calidad"</t>
  </si>
  <si>
    <t>Servicio de gestión del riesgo para temas de consumo, aprovechamiento biológico, calidad e inocuidad de los alimentos.</t>
  </si>
  <si>
    <t>Campañas de gestión del riesgo para temas de consumo, aprovechamiento biológico, calidad e inocuidad de los alimentos implementadas</t>
  </si>
  <si>
    <t>Aprovechamiento biológico y consumo de  alimentos idóneos  en el Departamento del Quindío</t>
  </si>
  <si>
    <t xml:space="preserve">Disminuir o mantener la proporción de niños menores de 5 años en riesgo de desnutrición moderada o severa aguda
</t>
  </si>
  <si>
    <t xml:space="preserve">*Fortalecer la estrategia que determine el número de brotes de enfermedades transmitidas por alimentos (ETA).
*Cumplir con  el tiempo de la practica de la lactancia Materna exclusiva
*Fortalecer la  atencion nutricional en poblaciones indigenas del departamento.
</t>
  </si>
  <si>
    <t>Realizar acciones de Inspección, Vigilancia y Control de alimentos y Bebidas alcohólicas de consumo humano en el Departamento del Quindío.</t>
  </si>
  <si>
    <t>Fondo Local de Salud - SGP Salud Pública-</t>
  </si>
  <si>
    <t>Liderar las acciones de Inspección, Vigilancia y Control de Alimentos y Bebidas de consumo humano en el Departamento del Quindío.</t>
  </si>
  <si>
    <t>Actualizar de censo de establecimientos de alimentos y bebidas.</t>
  </si>
  <si>
    <t>Vigilancia sanitaria en establecimientos de alimentos, relacionados con enfermedades transmitidas por alimentos (ETA), en los municipios de competencia del Departamento.</t>
  </si>
  <si>
    <t>Realizar vigilancia sanitaria en establecimientos de alimentos, relacionados con enfermedades transmitidas por alimentos (ETA), en los municipios de competencia del Departamento.</t>
  </si>
  <si>
    <t>Implementar sistema de información que permita programar y priorizar las acciones de Inspección, Vigilancia y Control con enfoque de riesgo en alimentos y bebidas.</t>
  </si>
  <si>
    <t>Articular con el laboratorio departamental de salud publica (LDSP) la programación y ejecución de la toma de muestras de alimentos y bebidas.</t>
  </si>
  <si>
    <t>Servicios de promoción de la salud y prevención de riesgos asociados a condiciones no transmisibles</t>
  </si>
  <si>
    <t>Campañas de promoción de la salud y prevención de riesgos asociados a condiciones no transmisibles implementadas</t>
  </si>
  <si>
    <t>Realizar acompañamiento en la concertación intersectorial para la formulación de planes, proyectos y lineamiento que permitan el desarrollo del componente de seguridad alimentaria y nutricional de consumo y aprovechamiento biológico.</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</si>
  <si>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</si>
  <si>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la Resolución 2465/2016.</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</si>
  <si>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</si>
  <si>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</si>
  <si>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</si>
  <si>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</si>
  <si>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</si>
  <si>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</si>
  <si>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*Fortalecer la gestion intersectorial en el cumplimiento de la normatividad relacionada con la elaboracion de mapas de riesgo </t>
  </si>
  <si>
    <t>Fortalecer las  capacidades  en  la comunidad   expuestas a sustancias químicas  en  prácticas de prevención y atención de eventos con productos químicos peligrosos</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</si>
  <si>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</si>
  <si>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</si>
  <si>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Realizar seguimiento semestral  a las cuberturas de las actividades de PEDT en el marco de las intervenciones de las RIAS, así como el seguimiento a la gestión del riesgo individual en salud.</t>
  </si>
  <si>
    <t>realizar acciones de fortalecimiento en la intervenciones de protección especifica y detección temprana con los diferentes actores del sistema (EAPB,IPS,PLANES LOCALES DE SALUD )</t>
  </si>
  <si>
    <t>Formular   el plan de fortalecimiento de capacidades   en salud ambiental    en coordinación con el Consejo Territorial de salud Ambiental COTSA</t>
  </si>
  <si>
    <t>Plan de fortalecimiento de capacidades   en salud ambiental formulado e implementado</t>
  </si>
  <si>
    <t xml:space="preserve">Elaborar el plan de fortalecimiento de capacidades en salud ambiental con que involucre  la fase de  diagnostico  , implementación , autoevaluación, evaluación  y el seguimiento a la gestión integral de la salud ambiental en el  periodo 2020-2023 </t>
  </si>
  <si>
    <t>Realizar anualmente  seguimiento  y monitoreo   al plan sectorial  de fortalecimiento de capacidades en salud ambiental, en  cumplimiento  Resolución 3496 de 2019.</t>
  </si>
  <si>
    <t>Implementar el protocolo de vigilancia sanitaria y ambiental de los efectos en salud relacionados con la contaminación del aire en los 11 municipios de competencia departamental.</t>
  </si>
  <si>
    <t>Protocolo implementado</t>
  </si>
  <si>
    <t>Definir los procesos que permitan evaluar la tendencia de los eventos de interés en salud pública asociados a la contaminación del aire e identificar sus factores determinantes</t>
  </si>
  <si>
    <t>Consolidar la información de los eventos de interés en salud
pública asociada a contaminación atmosférica</t>
  </si>
  <si>
    <t>Mantener  en 11 municipios de competencia departamental la vigilancia en los sistemas de potabilización, mediante la  de la aplicación de buenas practicas sanitarias y reporte de muestras de agua potable.</t>
  </si>
  <si>
    <t>Realizar análisis de la persistencia y aparición de factores de riesgo en las fuentes abastecedoras con el fin de generar la actualización anual de los mapas de riesgo de calidad de agua para consumo humano.</t>
  </si>
  <si>
    <t>Formulación e implementación del plan departamental en salud Ambiental de adaptación al cambio climático.</t>
  </si>
  <si>
    <t xml:space="preserve">Plan departamental en salud Ambiental de adaptación al cambio climático implementado </t>
  </si>
  <si>
    <t xml:space="preserve">Definición de situación actual del departamento en salud ambiental por problemáticas por cambio climático </t>
  </si>
  <si>
    <t>Generar  espacios  intersectoriales para la implementación del plan de adaptación de cambio Climático</t>
  </si>
  <si>
    <t>Implementación de estrategias de para la adaptación del cambio climático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</si>
  <si>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</si>
  <si>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</si>
  <si>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Implementación de la estrategia de entornos saludables en el marco de los entornos de vivienda y comunitario  con el abordaje integral de políticas, normas y el fortalecimiento de los factores protectores por medio de buenas practicas apropiadas por la familia, el individuo y la comunidad para su cuidado.</t>
  </si>
  <si>
    <t>Implementación de la estrategia entornos educativos saludables con la aplicación de políticas, normas y procedimientos que permitan el mejoramiento de las condiciones sanitarias, ambientales y sociales.</t>
  </si>
  <si>
    <t xml:space="preserve">Desarrollar acciones de intervención en el entorno comunitario   en la identificación y caracterización de riesgos  ambiental asociados a las sustancias químicas  en el marco de la estrategia COVECOM </t>
  </si>
  <si>
    <t xml:space="preserve">Implementación de la estrategia de movilidad saludable, segura y sostenible </t>
  </si>
  <si>
    <t>Educación y comunicación en la promoción de conocimientos, practicas y hábitos para la circulación y el transito seguro en la vía publica.</t>
  </si>
  <si>
    <t xml:space="preserve">Intervención en los entornos de vivienda, educativo y comunitario con caracterización y análisis de actores involucrados, y factores de riesgo asociados a las comunidades en cuanto a  movilidad. </t>
  </si>
  <si>
    <t>1803 - 5 - 1 1 2 12 134 - 61</t>
  </si>
  <si>
    <t>201663000-0134</t>
  </si>
  <si>
    <t>Fortalecimiento de acciones de intervención inherentes a los derechos sexuales y reproductivos  en el Departamento del Quindio.</t>
  </si>
  <si>
    <t xml:space="preserve">Disminuir de los eventos de interés en salud pública relacionados con la salud sexual y reproductiva en especial de la mortalidad materna  </t>
  </si>
  <si>
    <t xml:space="preserve">*Garantizar la  atención integral a la población en salud sexual y reproductiva.
*Implementar programa del  control prenatal antes de la semana 12 de la edad gestacional </t>
  </si>
  <si>
    <t>Desarrollar el plan de acción  del Comité Departamental consultivo intersectorial e interinstitucional para el abordaje integral de las violencias de género y violencias sexuales en niños, niñas y adolescentes</t>
  </si>
  <si>
    <t xml:space="preserve">Desarrollar el plan de acción  del Comité departamental de sexualidad, derechos sexuales y reproductivos y realizar asistencia técnica en los 12 municipios </t>
  </si>
  <si>
    <t>Realizar acciones encaminadas a la creación, fortalecimiento y seguimiento de los programas servicios de salud  amigables para adolescente y jóvenes</t>
  </si>
  <si>
    <t xml:space="preserve">Capacitar niñas, niños, adolescentes y jóvenes para que cuenten con una educación sexual, basada en el ejercicio de derechos humanos, sexuales y reproductivos, desde un enfoque de género y diferencial. </t>
  </si>
  <si>
    <t>Realizar acciones para la creación y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</si>
  <si>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</si>
  <si>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Realizar acciones encaminadas al fortalecimiento y creación y seguimiento de los programas servicios de salud  amigables para adolescente y jóvenes en las ESE e IPS</t>
  </si>
  <si>
    <t>Realizar acciones para la creación de mesas técnicas de trabajo con jóvenes adolescentes para el empoderamiento de grupos semilla para el proceso de servicios amigables para adolescentes y jóvenes</t>
  </si>
  <si>
    <t xml:space="preserve">Realizar acciones para el acompañamiento, capacitación y disminución del riesgo del parto en casa asistido  por parteras </t>
  </si>
  <si>
    <t>Realizar seguimiento a las IPS y centros de atención en la  gestión del riesgo en salud a personas que se inyectan drogas, en la estrategia de acceso universal a la prevención y atención integral en IT-VIH/SIDA</t>
  </si>
  <si>
    <t>Desarrollar el  Plan de acción del subcomité departamental de promoción y prevención de las ITS-VIH/SIDA.</t>
  </si>
  <si>
    <t>Realizar asistencia técnica de los  eventos en salud publica por VIH, transmisión materno infantil VIH y HEPATITIS VIRALES y el acceso universal a la terapia antirretroviral ARV</t>
  </si>
  <si>
    <t>Realizar acciones encaminadas ha aumentar significativamente el porcentaje de uso de condón en la última relación sexual con pareja ocasional en las poblaciones en contextos de mayor vulnerabilidad</t>
  </si>
  <si>
    <t xml:space="preserve">Realizar seguimiento y control a la realización del TSH neonatal  por parte de los Aseguradores y Prestadores , a todos los recién nacidos institucionalizados y no institucionalizados en el departamento del Quindío. </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</si>
  <si>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</si>
  <si>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</si>
  <si>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12 Secretarias y Direcciones de salud municipales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</si>
  <si>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</si>
  <si>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</si>
  <si>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</si>
  <si>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</si>
  <si>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</si>
  <si>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</si>
  <si>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Servicio de gestión del riesgo en temas de consumo de sustancias psicoactivas</t>
  </si>
  <si>
    <t>Campañas de gestión del riesgo en temas de consumo de sustancias psicoactivas implementadas</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</si>
  <si>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</si>
  <si>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</si>
  <si>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</si>
  <si>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
*Establecer lineamientos de planificación en la Atención primaria en Salud Mental (APS) en todos los municipios Quindiano.
*Articular las políticas públicas de reducción de la oferta y reducción de la demanda de sustancias psicoactivas licitas e ilícitas.</t>
  </si>
  <si>
    <t xml:space="preserve">Seguimiento a la gestión del riesgo en los casos notificados por el SIVIGILA </t>
  </si>
  <si>
    <t>Apoyar el desarrollo de formaciones o capacitaciones a las instituciones que así lo requieran</t>
  </si>
  <si>
    <t>Operativizar el comité departamental de drogas con énfasis en reducción del consumo de sustancias psicoactivas</t>
  </si>
  <si>
    <t>Realizar acciones de vigilancia  a las EAPB e IPS frente a los servicios de atención para usuarios consumidores de Sustancias Psicoactivas</t>
  </si>
  <si>
    <t xml:space="preserve">Servicio de gestión del riesgo en temas de trastornos mentales </t>
  </si>
  <si>
    <t>Formación y capacitación al personal de las IPS, EPS, Planes locales de Salud y entidades que desarrollan acciones encaminadas a la atención primaria en salud mental con énfasis en MH - GAP.</t>
  </si>
  <si>
    <t>Realizar monitoreo y seguimiento a los casos notificados en el SIVIGILA en los eventos de interés  en salud pública y de competencia directa de la Dimensión de convivencia social y salud mental.</t>
  </si>
  <si>
    <t>Seguimiento a la gestión del riesgo en los casos notificados por el SIVIGILA a las entidades con competencia en la dimensión de convivencia social y salud mental (EAPBS - Planes Locales Salud - Comisarias de Familia - ICBF)</t>
  </si>
  <si>
    <t xml:space="preserve">Apoyar el desarrollo de formaciones o capacitaciones a las instituciones que así lo requieran de competencia directa de la dimensión de Convivencia Social y Salud Mental </t>
  </si>
  <si>
    <t xml:space="preserve">realizar acciones de vigilancia y monitoreo  a los entes municipales en la línea  de convivencia social y salud mental </t>
  </si>
  <si>
    <t>Adaptar e implementar la Política Pública de Salud Mental para el Departamento del Quindío</t>
  </si>
  <si>
    <t xml:space="preserve">Política pública en Salud Mental adaptada e Implementada  </t>
  </si>
  <si>
    <t>Realizar mesas para la operativización y seguimiento del Plan de Acción del Comité Departamental de Drogas con énfasis en Reducción del Consumo de Sustancias Psicoactivas - ordenanza 051 del 2010 y Plan Integral de Drogas 2016-2019</t>
  </si>
  <si>
    <t>Asesoría y asistencia Técnica para la adopción  e implementación en los doce (12) municipios del Plan Integral de Drogas. (Plan Departamental de la Reducción del Consumo de Sustancias Psicoactivas SPA)</t>
  </si>
  <si>
    <t xml:space="preserve">Realizar ajuste y adopción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</si>
  <si>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</si>
  <si>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</si>
  <si>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competencia de la dimensión de salud mental y convivencia social con las instituciones del SGSSS</t>
  </si>
  <si>
    <t>Servicio de gestión del riesgo para abordar condiciones crónicas prevalentes</t>
  </si>
  <si>
    <t>Campañas de gestión del riesgo para abordar condiciones crónicas prevalentes implementadas</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</si>
  <si>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</si>
  <si>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</si>
  <si>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</si>
  <si>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*Realizar campañas  de promoción y prevención que orienten la adopción de estilos de vida saludable
*Articular estrategias interinstitucionales que garanticen la integralidad en la atención de los usuarios
*Adoptar guías y protocolos de atención de las enfermedades crónicas no transmisibles por parte de las EPS e IPS</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</si>
  <si>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 (PIC)</t>
  </si>
  <si>
    <t>Fondo Local de Salud - SGP</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</si>
  <si>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</si>
  <si>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</si>
  <si>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 xml:space="preserve">Realizar monitoreo y  seguimiento  en  Implementación de  las  rutas  integrales  de  atención en  EPS, IPS y  planes  locales. </t>
  </si>
  <si>
    <t>Realizar asistencia técnica a los Planes Locales de Salud en la gestión intersectorial para la promoción de estilos de vida saludables (alimentación saludable, actividad física, alcohol y cigarrillo) en los diferentes entornos educativo, laboral y comunitario.</t>
  </si>
  <si>
    <t>Verificar el nivel de cumplimiento  de la ley 1335 de 2009 enfocada en espacios libres de humo</t>
  </si>
  <si>
    <t>Brindar asistencia técnica la implementación de  la estrategia Tiendas escolares Saludables de municipios de competencia departamental y hacer el respectivo seguimiento.</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</si>
  <si>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</si>
  <si>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t>
  </si>
  <si>
    <t>Cuartos fríos adecuados</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</si>
  <si>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</si>
  <si>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</si>
  <si>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</si>
  <si>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*Fortalecimiento de los protocolos para la prevenciÓn y control de las enfermedades transmisibles
</t>
  </si>
  <si>
    <t>Realizar acciones de apoyo para la suficiencia y disponibilidad, con oportunidad y calidad, de los insumos, biológicos y red de frío en todo el territorio.</t>
  </si>
  <si>
    <t>Brindar asistencia técnica que garantice la cadena de frio, el manejo de biológicos y los demás insumos del programa PAI</t>
  </si>
  <si>
    <t>Realizar la consolidación de la información generada por el Programa Ampliado de Inmunizaciones</t>
  </si>
  <si>
    <t xml:space="preserve">Realizar acciones de mantenimiento preventivo y correctivo de los equipos de cadena de frío </t>
  </si>
  <si>
    <t>Realizar asistencia técnica y seguimiento a los municipios en la implementación y ejecución del sistema de información nominal del PAI.</t>
  </si>
  <si>
    <t>Servicio de gestión del riesgo para enfermedades emergentes, reemergentes y desatendidas</t>
  </si>
  <si>
    <t>Campañas de gestión del riesgo para enfermedades emergentes, reemergentes y desatendidas implementadas.</t>
  </si>
  <si>
    <t>Realizar sesiones de asistencia técnica a los equipos de ESEs y EAPB  para la implementación del Programa nacional de Prevención, Manejo y Control de la IRA y EDA</t>
  </si>
  <si>
    <t>Brindar en las acciones de actualización sobre la valoración integral, detección temprana, protección específica, educación para la infancia y primera infancia y los tres mensajes clave del programa.</t>
  </si>
  <si>
    <t>Realizar apoyo al seguimiento de  los planes de mejora derivados de las unidades de análisis de mortalidad por IRA y EDA en menores de 5 años</t>
  </si>
  <si>
    <t>Generar  espacios de  comunicación y construcción conjunta entre las comunidades indígenas y la UAIC (Unidad de atención integral comunitaria)</t>
  </si>
  <si>
    <t>Desarrollar acciones de capacidades a la comunidad en prevención, manejo y control de la IRA/EDA con alianzas intersectoriales.</t>
  </si>
  <si>
    <t>Brindar apoyo en el desarrollo de capacidades al equipo humano en la Estrategia de Desparasitación Antihelmíntica.</t>
  </si>
  <si>
    <t>Servicio de gestión del riesgo para enfermedades inmunoprevenibles</t>
  </si>
  <si>
    <t>Campañas de gestión del riesgo para enfermedades inmunoprevenibles  implementadas</t>
  </si>
  <si>
    <t xml:space="preserve">Realizar asistencia técnica, seguimiento, vigilancia y control del Programa Ampliado de Inmunizaciones </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</si>
  <si>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</si>
  <si>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</si>
  <si>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 xml:space="preserve">Realizar articulación con las EAPB, IPS y Planes Locales de Salud, para garantizar el cumplimiento en las coberturas de vacunación  y realizar seguimiento a las EAPB en el cumplimiento de la normatividad </t>
  </si>
  <si>
    <t>Incrementar las acciones de gestión y coordinación intra e intersectorial, para lograr la atención integral de la población objeto del programa en todo el territorio, la equidad y la disminución de las brechas de acceso</t>
  </si>
  <si>
    <t xml:space="preserve">Coordinar espacios académicos que incluyan los temas del PAI con instituciones de educación superior con formación en medicina, enfermería y áreas afines. </t>
  </si>
  <si>
    <t>Realizar acciones de articulación del PAI con las estrategias donde se implementen acciones para el fomento de la participación social para la atención integral.</t>
  </si>
  <si>
    <t>Identificar y priorizar los municipios de riesgo por incumplimiento de coberturas 2019 para aumentar el esfuerzo en las intervenciones y mejorar el acceso equitativo a la vacunación.</t>
  </si>
  <si>
    <t>Participar en los procesos de implementación y desarrollo de las Rutas Integrales de Atenciones – RIA, articulando las intervenciones de vacunación como proceso transversal.</t>
  </si>
  <si>
    <t>seguimiento y cierre de los Eventos Supuestamente Atribuidos a la Vacunación o Inmunización (ESAVI)</t>
  </si>
  <si>
    <t>Participar en el desarrollo de capacidades para la progresividad y adaptabilidad en la implementación de la Resolución 3280 de 2018</t>
  </si>
  <si>
    <t>201663000-0141</t>
  </si>
  <si>
    <t xml:space="preserve">Fortalecimiento de estrategia de gestión integral, vectores, cambio climático y zoonosis en el Departamento  del Quindío </t>
  </si>
  <si>
    <t xml:space="preserve">Disminuir el indice de enfermedades trasmision vectorial y zoonosis en la poblacion  
</t>
  </si>
  <si>
    <t xml:space="preserve">*Implementar estrategiaspara  la gestión integral para enfermedades de transmisión vectorial (EGI ETV) 
*Fortalecer acciones para aumentar coberturas útiles de vacunación antirrábica en animales (perros y gatos). 
</t>
  </si>
  <si>
    <t>Realizar inspección vigilancia y control de focos de reproducción de vectores (dengue, Chikunguña y zika) en los 11 municipios de competencia Departamental.</t>
  </si>
  <si>
    <t>111</t>
  </si>
  <si>
    <t>Res. 781/15 Prev. y control enfermedades por Vect</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</si>
  <si>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</si>
  <si>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</si>
  <si>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</si>
  <si>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</si>
  <si>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</si>
  <si>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Estimar la población de perros y gatos en las áreas urbana y rural en el 100% de los municipios de categoría 4, 5 y 6 del departamento del Quindío.</t>
  </si>
  <si>
    <t>102</t>
  </si>
  <si>
    <t>Superávit Transferencias Capital Salud Publica</t>
  </si>
  <si>
    <t>107</t>
  </si>
  <si>
    <t>147</t>
  </si>
  <si>
    <t>161</t>
  </si>
  <si>
    <t xml:space="preserve">Promover a nivel comunitario la tenencia responsable de animales de compañía y la promoción de la vacunación antirrábica. </t>
  </si>
  <si>
    <t>Realizar coordinación intersectorial en el marco del Consejo Territorial de Zoonosis.</t>
  </si>
  <si>
    <t>Seguimiento a los reportes de población de perros y gatos en las áreas urbana y rural en municipios de categoría 4, 5 y 6 del departamento del Quindío.</t>
  </si>
  <si>
    <t>Realizar el monitoreo y evaluación a las acciones de gestión del riesgo, adherencia a guías y protocolos en las EAPB y Empresas Sociales del Estado</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</si>
  <si>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</si>
  <si>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</si>
  <si>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</si>
  <si>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
*Realizar campañas de prevención y atención integral en afectados por tuberculosis
*Coordinar acciones para la gestión intersectorial</t>
  </si>
  <si>
    <t>Brindar asistencia técnica y seguimiento al programa de tuberculosis y lepra dirigida a: Planes Locales de Salud, Ips publicas y Privadas, EAPB, laboratorios adscritos a la red publica y privada de los 12 municipios del departamento.</t>
  </si>
  <si>
    <t>Servicio de gestión del riesgo para enfermedades emergentes, reemergentes y desatendidas.</t>
  </si>
  <si>
    <t>Realizar capacitaciones al personal asistencial de las IPS en el programa de tuberculosis y lepra en el departamento.</t>
  </si>
  <si>
    <t>113</t>
  </si>
  <si>
    <t>RES. 1029/16 CAMP Y CONTROL ANTI TUBERCULOSIS QDIO</t>
  </si>
  <si>
    <t>114</t>
  </si>
  <si>
    <t>RES.1030/2016 CAMPAÑA CONTROL LEPRA QUINDIO</t>
  </si>
  <si>
    <t>Realizar el análisis e intervención a los casos especiales de farmacorresistencia del programa de tuberculosis. " CERCET" Comité Evaluador  Regional de Casos Especiales de Tuberculosis.</t>
  </si>
  <si>
    <t>Acompañar la vigilancia de cumplimiento a guías, lineamientos y protocolos  en tuberculosis y lepra</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</si>
  <si>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</si>
  <si>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</si>
  <si>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</si>
  <si>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</si>
  <si>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</si>
  <si>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202000363-0002</t>
  </si>
  <si>
    <t>Tu y Yo Contra  - COVID</t>
  </si>
  <si>
    <t>Eficiente gestión integral del riesgo en eventos de interes en salud pública, ante la pandemia por COVID-19</t>
  </si>
  <si>
    <t>Disponer de una gran oferta de capacidad técnica y humana, que provea de habilidades resolutivas en cuidados intermedios, altos e intensivos, de la red hospitalaria publica departamental</t>
  </si>
  <si>
    <t>Suministro de papelería, material de difusión,  equipos de oficina y elementos  afines para la atención de la emergencia   COVID 19</t>
  </si>
  <si>
    <t>Adquisición de elementos, insumos, reactivos y equipos requeridos de  bioseguridad para  prevenir, preparar medios de transporte viral, identificar en forma temprana, diagnosticar, tratar atender y rehabilitar a los posibles infectados del COVID-19 en el departamento del Quindío</t>
  </si>
  <si>
    <t>Suministro de alimentación, víveres  para la población vulnerable, y personal de la administración central que se encuentre atendiendo  la emergencia de salud publica generada por el COVID 19</t>
  </si>
  <si>
    <t>Servicios de personal requerido y  generales necesarios durante la Emergencia  generada por el COVID-19</t>
  </si>
  <si>
    <t>Fortalecimiento tecnológico del Centro Administrativo Departamental para mejorar los procesos de Vigilancia en salud publica.</t>
  </si>
  <si>
    <t>Dotar ESEs y laboratorio de salud publica para la prestación de servicios requeridos para la atencion de la pandemia</t>
  </si>
  <si>
    <t>Dotar el Centro Regulador de urgencias y Emergencias CRUE, para mejorar las condiciones de respuesta y centro de reserva de insumos</t>
  </si>
  <si>
    <t>Fortalecimiento del talento Humano para la verificación del cumplimiento de lineamientos expedidos para la emergencia</t>
  </si>
  <si>
    <t>1803 - 5 - 1 1 2 12 143 - 61</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</si>
  <si>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</si>
  <si>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</si>
  <si>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</si>
  <si>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*Operar el Plan de Emergencias en Salud en el Departamento </t>
  </si>
  <si>
    <t>Realizar seguimiento a factores de riesgo en las fuentes abastecedoras</t>
  </si>
  <si>
    <t>SGP Salud Publica C.S.F</t>
  </si>
  <si>
    <t>Servicios de atención en salud pública en situaciones de emergencias y desastres</t>
  </si>
  <si>
    <t>Personas en capacidad de ser atendidas</t>
  </si>
  <si>
    <t xml:space="preserve">Realizar verificación de la aplicación de protocolos y planes de emergencia hospitalaria a las eses publicas </t>
  </si>
  <si>
    <t>Servicio de gestión del riesgo para abordar situaciones prevalentes de origen laboral</t>
  </si>
  <si>
    <t>Campañas de gestión del riesgo para abordar situaciones prevalentes de origen laboral implementadas</t>
  </si>
  <si>
    <t>201663000-0145</t>
  </si>
  <si>
    <t xml:space="preserve"> 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</si>
  <si>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</si>
  <si>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*Implementar controles de cumplimiento por parte de los empleadores en lo reglamentado en el Sistema general de Riesgos Laborales.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</si>
  <si>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</si>
  <si>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</si>
  <si>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</si>
  <si>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 xml:space="preserve">Realizar una jornada Educativa con relación a Riesgos laborales a los empleadores del Dpto. </t>
  </si>
  <si>
    <t>Realizar asistencia técnica  a los prestadores de primer nivel, para verificar el cumplimiento del Sistema de Gestión de la Seguridad y Salud en el Trabajo.</t>
  </si>
  <si>
    <t xml:space="preserve">Expedir las licencias y asistencias técnicas en Seguridad y Salud en el Trabajo. </t>
  </si>
  <si>
    <t xml:space="preserve">Capacitar a trabajadores del  sector agrícola de los municipios de competencia departamental  en  Promoción y prevención de Riesgos Laborales. </t>
  </si>
  <si>
    <t>Articular procesos  para la prevención de trabajo infantil en el departamento del Quindío, en el marco del Comité Departamentales para la prevención y erradicación de trabajo infantil - CIETI</t>
  </si>
  <si>
    <t>Realizar asistencia técnica  a las  ESES , para verificar el cumplimiento del Sistema de Gestión de la Seguridad y Salud en el Trabajo.</t>
  </si>
  <si>
    <t>Realizar jornada de sensibilización a los Empleadores  del  sector  Comercio y/o Turismo para fomentar la afiliación al SGRL a sus empleados conforme a ley 1562 del 2012 y decreto  1072 de 2015.</t>
  </si>
  <si>
    <t>Analizar los eventos de origen laboral graves y mortales reportados por el Comité Seccional de Seguridad y Salud en el trabajo.</t>
  </si>
  <si>
    <t xml:space="preserve">Documentos de planeación en epidemiología y demografía elaborados </t>
  </si>
  <si>
    <t>1803 - 5 - 1 1 2 12 152 - 98</t>
  </si>
  <si>
    <t xml:space="preserve">*Fortalecer  la capacidad instalada en los niveles institucionales y municipales frente al desarrollo de los procesos de Vigilancia en Salud Pública </t>
  </si>
  <si>
    <t>Actualización del Análisis de Situación de Salud "ASIS"  del Departamento del Quindío.</t>
  </si>
  <si>
    <t>98</t>
  </si>
  <si>
    <t>Generación de informes epidemiológicos según lineamientos de Prevención, Vigilancia y Control del Nivel Nacional</t>
  </si>
  <si>
    <t>Apoyo en los procesos relacionados con las Estadísticas Vitales , seguimiento y monitoreo del cumplimiento de los indicadores de cobertura, proceso y calidad.</t>
  </si>
  <si>
    <t>Centros Reguladores de Urgencias, Emergencias y Desastres funcionando y dotados</t>
  </si>
  <si>
    <t>Centro Reguladores de Urgencias, Emergencias y Desastres dotados y funcionando</t>
  </si>
  <si>
    <t>201663000-0157</t>
  </si>
  <si>
    <t xml:space="preserve">Fortalecimiento de la red de urgencias y emergencias en el Departamento del Quindio </t>
  </si>
  <si>
    <t>Regular y coordinar la prestación de servicios de urgencias y emergencias en salud en el departamento.</t>
  </si>
  <si>
    <t>Realizar asistencia técnica a los prestadores de servicios de salud.</t>
  </si>
  <si>
    <t>Adquisición y 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</si>
  <si>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</si>
  <si>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</si>
  <si>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</si>
  <si>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201663000-0150</t>
  </si>
  <si>
    <t xml:space="preserve">Asistencia atención a las personas y prioridades en salud pública en el  Departamento del Quindío- Plan de Intervenciones Colectivas PIC. </t>
  </si>
  <si>
    <t>Disminuir la morbimortalidad asociada  a la carga de la enfermedad por los determinantes sociales fortaleciendo  las acciones de complementariedad  a los municipios</t>
  </si>
  <si>
    <t>Mejorar los procesos de implementación de las actividades colectivas</t>
  </si>
  <si>
    <t>Realizar intervenciones de manera integrada e integral en los diferentes entornos definidos en la norma</t>
  </si>
  <si>
    <t>Realizar auditoria al desarrollo de las intervenciones colectivas y establecer acciones de mejoramiento</t>
  </si>
  <si>
    <t>Realizar intervenciones de vacunación antirrábica</t>
  </si>
  <si>
    <t>Realizar la caracterización de caninos y felinos</t>
  </si>
  <si>
    <t>Ejecutar intervenciones de Prevención y Control de las Enfermedades de origen Vectorial en municipios hiperendémicos.</t>
  </si>
  <si>
    <t>Ejecutar las acciones de la estrategia COMBI en municipios hiperendémicos para enfermedades vectoriales</t>
  </si>
  <si>
    <t xml:space="preserve">Realizar acciones, intervenciones y procedimientos colectivos </t>
  </si>
  <si>
    <t>Servicio de promoción de afiliaciones al régimen contributivo del Sistema General de Seguridad Social de las personas con capacidad de pago</t>
  </si>
  <si>
    <t>Personas con capacidad de pago afiliadas</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</si>
  <si>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</si>
  <si>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</si>
  <si>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</si>
  <si>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*Mejorar los procesos de identificación de la población no sisbenizada y no afiliada.
* Gestionar  recursos para cofinanciación de la afialicon  mpo y lugares de afiliación
* Aumentar la asistencia técnica a 12 Municipios del departamento,  en los procesos del régimen subsidiado
</t>
  </si>
  <si>
    <t>Realizar acciones de promoción en las afiliaciones de la población en el sistema general de seguridad social en salud</t>
  </si>
  <si>
    <t>Servicio de cofinanciación para la continuidad del  régimen subsidiado en salud en 11 municipios del departamento</t>
  </si>
  <si>
    <t>Personas afiliadas</t>
  </si>
  <si>
    <t xml:space="preserve">Gestión de recursos para cofinanciación de la afiliación a los municipios y lugares de afiliación. </t>
  </si>
  <si>
    <t>154</t>
  </si>
  <si>
    <t>Aportes Patronales</t>
  </si>
  <si>
    <t>96</t>
  </si>
  <si>
    <t>Rendimientos Financieros SGP Prestacion de servicios</t>
  </si>
  <si>
    <t>167</t>
  </si>
  <si>
    <t>Realizar auditorias a los procesos de régimen subsidiado en los 12 municipios, de acuerdo a lo establecido en la Circular 006 de 2011.</t>
  </si>
  <si>
    <t>Servicio de apoyo con tecnologías para prestación de servicios en salud</t>
  </si>
  <si>
    <t>Población inimputable atendida</t>
  </si>
  <si>
    <t>201663000-0154</t>
  </si>
  <si>
    <t xml:space="preserve">Prestación de Servicios a la Población no Afiliada al Sistema General de Seguridad Social en Salud  y en los no POS  a la Población Afiliada al Régimen Subsidiado.
</t>
  </si>
  <si>
    <t>Garantizar la atención en salud a la población pobre no asegurada y/o víctima del conflicto armado en un rango de afiliación 51.57 según Resolución 3778 de 2011. en  e l departamento del Quindío</t>
  </si>
  <si>
    <t xml:space="preserve">Fortalecer la contratación para la atención de la población no afiliada </t>
  </si>
  <si>
    <t>110</t>
  </si>
  <si>
    <t xml:space="preserve"> RES. 971/2016 PROGR. INIMPUTABLES </t>
  </si>
  <si>
    <t>156</t>
  </si>
  <si>
    <t>Pacientes atendidos</t>
  </si>
  <si>
    <t>35</t>
  </si>
  <si>
    <t>Servicios de reconocimientos de las metas de calidad, financiera, producción y transferencias especiales</t>
  </si>
  <si>
    <t>Porcentaje de recursos transferidos</t>
  </si>
  <si>
    <t>Realizar los actos administrativos para la transferencia de los recursos mediante el cumplimiento de metas</t>
  </si>
  <si>
    <t>SGP SALUD APORTES PATRONALES SS F7</t>
  </si>
  <si>
    <t>171</t>
  </si>
  <si>
    <t>Servicios de reconocimientos de deuda</t>
  </si>
  <si>
    <t>Porcentaje de recursos pagados</t>
  </si>
  <si>
    <t>Realizar los pagos de los servicios y tecnologías NO UPC del Régimen Subsidiado</t>
  </si>
  <si>
    <t xml:space="preserve"> SUPERÁVIT COFINANCIACIÓN NACIONAL RES. 3876/12 DIS </t>
  </si>
  <si>
    <t xml:space="preserve"> SUPERAVIT RECURSOS - ADRES RES. 2359/2019 </t>
  </si>
  <si>
    <t>169</t>
  </si>
  <si>
    <t xml:space="preserve"> SUPERAVIT RECURSOS SGSS SALUD -  ADRES </t>
  </si>
  <si>
    <t>58</t>
  </si>
  <si>
    <t xml:space="preserve"> RENTAS CEDIDAS SECRETARIA .DE SALUD </t>
  </si>
  <si>
    <t>59</t>
  </si>
  <si>
    <t>65</t>
  </si>
  <si>
    <t xml:space="preserve"> COFINANCIACION NACIONAL SALUD </t>
  </si>
  <si>
    <t xml:space="preserve"> SUPERAVIT RENTAS CEDIDAS SALUD </t>
  </si>
  <si>
    <t xml:space="preserve"> SUPERAVIT SGP SALUD PRESTACION DE SERVICIOS </t>
  </si>
  <si>
    <t>SUPERÁVIT COFINANCIACIÓN NACIONAL RES. 3876/12 DIS</t>
  </si>
  <si>
    <t>SUPERAVIT RENTAS CEDIDAS SALUD</t>
  </si>
  <si>
    <t>Servicio de asistencia técnica a Instituciones Prestadoras de Servicios de salud</t>
  </si>
  <si>
    <t>Instituciones Prestadoras de Servicios de salud asistidas técnicamente</t>
  </si>
  <si>
    <t>201663000-0159</t>
  </si>
  <si>
    <t>Fortalecimiento de la red de prestación de servicios pública  del Departamento del Quindío</t>
  </si>
  <si>
    <t>Apoyar el  seguimiento al proceso de reporte, vigilancia y control en el manejo de los recursos de salud en el Departamento del Quindio</t>
  </si>
  <si>
    <t xml:space="preserve">*Fortalecer los procesos financieros  del sector salud en el departamento del Quindío.
*Realizar los  procesos adecuados para la auditoria en el flujo de recursos de las IPS 
</t>
  </si>
  <si>
    <t>Seguimiento y apoyo al proceso financiero de las IPS publicas</t>
  </si>
  <si>
    <t xml:space="preserve">Dar apoyo a las ESE del departamento para garantizar la continuidad en la prestación de servicios de salud </t>
  </si>
  <si>
    <t>Seguimiento a los programas de saneamiento fiscal y financiero.</t>
  </si>
  <si>
    <t xml:space="preserve">Transferencia de recursos a las empresas sociales del estado del departamento </t>
  </si>
  <si>
    <t>168</t>
  </si>
  <si>
    <t>FONDO DE SALVAMENTO Y GRANT. PARA LA SALUD FONSAET</t>
  </si>
  <si>
    <t>Servicio de fomento para la permanencia en programas de educación formal</t>
  </si>
  <si>
    <t>Personas beneficiarias de estrategias de permanencia</t>
  </si>
  <si>
    <t>0314 - 5 - 1 1 1 15 84 - 134
 0314 - 5 - 1 1 1 15 84 - 20
0314 - 5 - 1 1 1 15 84 - 35
0314 - 5 - 1 1 1 15 84 - 88
 0314 - 5 - 1 1 1 15 84 - 91
 0314 - 5 - 3 1 3 5 16 1 84 - 20
  0314 - 5 - 3 1 3 5 16 1 84 - 35
 1404 - 5 - 1 1 1 15 84 - 137
 1404 - 5 - 1 1 1 15 84 - 25
 1404 - 5 - 1 1 1 15 84 - 81
 1404 - 5 - 3 1 3 5 16 1 84 - 137
 1404 - 5 - 3 1 3 5 16 1 84 - 81</t>
  </si>
  <si>
    <t>201663000-0084</t>
  </si>
  <si>
    <t xml:space="preserve">Fortalecimiento de las estrategias para el acceso,  permanencia y seguridad  de los niños, niñas y jóvenes en el  sistema educativo del Departamento del Quindío. </t>
  </si>
  <si>
    <t>Bajar  los índices de deserción escolar en el Departamento del Quindío</t>
  </si>
  <si>
    <t>Garantizar el adecuado mantenimiento en las Instituciones  y Sedes Educativas
Implementar un programa de alimentación escolar para las Instituciones educativas del departamento del Quindío, con el fin de  disminuir los índices de deserción escolar  durante la vigencia 2017
Garantizar el transporte escolar a los niños, niñas, jóvenes y adolescentes de la zona rural de los 11 municipios no certificados del Departamento del Quindío para disminuir las distancias de desplazamiento y garantizar el acceso al sistema educativo.</t>
  </si>
  <si>
    <t>Servicio de Aseo y Vigilancia para las IE Oficiales y sus Sedes Educativas del Departamento del Quindío.</t>
  </si>
  <si>
    <t>Secretaría de Educación</t>
  </si>
  <si>
    <t>Superavit ordinario</t>
  </si>
  <si>
    <t>Superavit Monopolio</t>
  </si>
  <si>
    <t>Servicio de apoyo a la permanencia con alimentación escolar</t>
  </si>
  <si>
    <t>Beneficiarios de la alimentación escolar</t>
  </si>
  <si>
    <t xml:space="preserve">Suministro de alimientación escolar para la jornada regular y unica par los niños, niñas, adolescentes  y jóvenes escolarizados con matricula oficial en las Instituciones Educativas </t>
  </si>
  <si>
    <t>Transferencias de la Nación por alimentación PAE</t>
  </si>
  <si>
    <t>Superavit transferencia de la Nación PAE</t>
  </si>
  <si>
    <t>Personal de apoyo , para el acompañamiento, seguimiento y verificación y supervision de la ejecucion del PAE</t>
  </si>
  <si>
    <t xml:space="preserve">Implementación del Programa de Alimentación Escolar (PAE), para los niños, niñas, adolescentes y jóvenes matriculados  en las Instituciones Educativas Oficiales del Departamento del Quindío (ETC Quindío), dentro de las jornadas regular y única.  </t>
  </si>
  <si>
    <t>Cofinanciación Municipios PAE</t>
  </si>
  <si>
    <t>SGP</t>
  </si>
  <si>
    <t>Extracción material de río minas y otros</t>
  </si>
  <si>
    <t>15.22</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</si>
  <si>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</si>
  <si>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</si>
  <si>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1404 - 5 - 1 1 1 15 86 - 25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</si>
  <si>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</si>
  <si>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</si>
  <si>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</si>
  <si>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</si>
  <si>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Implementar un programa para brindarles una mejor atencion educativa a los menores y/o adultos con situaciones penales, iletrados, menores trabajadores.</t>
  </si>
  <si>
    <t>15.11</t>
  </si>
  <si>
    <t>Servicio educación formal por modelos educativos flexibles</t>
  </si>
  <si>
    <t>Beneficiarios atendidos con modelos educativos flexibles</t>
  </si>
  <si>
    <t>Atencion de la poblacion con NNE y talentos Excepcionales.</t>
  </si>
  <si>
    <t>15.30</t>
  </si>
  <si>
    <t>Servicio educativo</t>
  </si>
  <si>
    <t>Establecimientos educativos en operación</t>
  </si>
  <si>
    <t xml:space="preserve">1401 - 5 - 1 1 1 15 87 1
1401 - 5 - 3 1 3 8 27 1
1402 - 5 - 1 1 1 15 87
1402 - 5 - 3 1 3 5 18 1
1403 - 5 - 1 1 1 15 87 1
1403 - 5 - 3 1 3 5 18 1
</t>
  </si>
  <si>
    <t>201663000-0087</t>
  </si>
  <si>
    <t>Aplicación funcionamiento y prestación del servicio educativo de las instituciones educativas.</t>
  </si>
  <si>
    <t xml:space="preserve">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
</t>
  </si>
  <si>
    <t>Generar estrategias que garantice la sostenibilidad de la planta docente, directivos docentes y administrativos viabilizados por el ministerio de educación nacional vinculados a la secretaría de educación departamental</t>
  </si>
  <si>
    <t>Gastos de personal de la Planta Docente, Directivos Docentes y  personal administrativo de las Instituciones Educativas Oficiales del Departamento.</t>
  </si>
  <si>
    <t xml:space="preserve">SGP- Educación </t>
  </si>
  <si>
    <t>Realizar el pago oportuno de los gastos de personal, transferencias de nómina, gastos generales  y todos aquellos afines a la operación de la prestación del servicio educativo dirigidos al personal administrativo de la planta central de la Secretaría de Educación Departamental, personal administrativo, docentes y directivos docentes de las instituciones educativas oficiales adscritas al departamento del Quindío.</t>
  </si>
  <si>
    <t>25-26</t>
  </si>
  <si>
    <t xml:space="preserve">SGP 
</t>
  </si>
  <si>
    <t>Realizar el pago oportuno de los gastos  generales, transferencias  y todos aquellos afines a la operación de la prestación del servicio educativo dirigidos al personal administrativo de la planta central de la Secretaría de Educación Departamental, personal administrativo, docentes y directivos docentes de las instituciones educativas oficiales adscritas al departamento del Quindío.</t>
  </si>
  <si>
    <t>25-09</t>
  </si>
  <si>
    <t xml:space="preserve">S.G.P
Superavit  S.G.P. Educacion
</t>
  </si>
  <si>
    <t>1400 - 5 - 1 1 1 15 98 - 25</t>
  </si>
  <si>
    <t>201663000-0098</t>
  </si>
  <si>
    <t>Funcionamiento y Prestación de Servicios del Sector Educativo del nivel Central en el Departamento del Quindío.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</si>
  <si>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</si>
  <si>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</si>
  <si>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Servicios personales asociados a la nomina</t>
  </si>
  <si>
    <t>25</t>
  </si>
  <si>
    <t xml:space="preserve">SGP </t>
  </si>
  <si>
    <t>Servicios personales indirectos</t>
  </si>
  <si>
    <t xml:space="preserve"> Contribuciones inherentes a la nomina</t>
  </si>
  <si>
    <t>Adquisición de bienes</t>
  </si>
  <si>
    <t>Adquisicion de servicios</t>
  </si>
  <si>
    <t>15.2</t>
  </si>
  <si>
    <t>Servicio de asistencia técnica en educación inicial, preescolar, básica y media</t>
  </si>
  <si>
    <t>Entidades y organizaciones asistidas técnicamente</t>
  </si>
  <si>
    <t>0314 - 5 - 1 1 1 15 90 - 20  
0314 - 5 - 1 1 1 15 90 - 88   
0314 - 5 - 1 1 1 15 90 - 91 25
1404 - 5 - 3 1 3 6 20 1 90 - 21
1404 - 5 - 3 1 3 6 20 1 90 - 25
0314 - 5 - 3 1 3 6 20 1 90 - 20
0314 - 5 - 3 1 3 6 20 1 90 - 91
1404 - 5 - 1 1 1 15 90 - 21
1404 - 5 - 1 1 1 15 90 -                                                                                                                                                                                                                                                                                                                                                                                                                                                               1404 - 5 - 1 1 1 15 90 - 173</t>
  </si>
  <si>
    <t>201663000-0090</t>
  </si>
  <si>
    <t>Mejoramiento de ambientes escolares y  fortalecimiento de modelos educativos articuladores de la ciencia, los lenguajes, las artes y el deporte en el Departamento del Quindío.</t>
  </si>
  <si>
    <t xml:space="preserve">Mejorar las condiciones de Infraestructura y de elementos  pedagógicos para la implementación de la jornada única y ambientes escolares </t>
  </si>
  <si>
    <t>Fortalecer los comités de convivencia escolar en las 54 IE
Conformar y dotar grupos culturales artísticos en instituciones educativas
Implementar el proyecto PRAE en instituciones educativas del departamento
Conformar y dotar grupos culturales artísticos en instituciones educativas
Mejorar las condiciones de infraestructura y de elementos pedagógicos para la implementación de la jornada única y ambientes escolares para la Paz
Dotar Instituciones Educativas de material didáctico, mobiliario escolar y/o infraestructura tecnológica</t>
  </si>
  <si>
    <t>Apoyo para el fortalecimiento de los Comités de Convivencia Escolar</t>
  </si>
  <si>
    <t>Implementar un plan colectivo de asistencia técnica a los funcionarios docentes, directivos docentes y administrativos de la Secretaría de Educación Departamental, con el fin de fortalecer sus capacidades estratégicas, técnicas y personales.</t>
  </si>
  <si>
    <t>15.13</t>
  </si>
  <si>
    <t>Diseño e Implementación de estrategias de acceso y permanencia de los niños, niñas, adolescentes, jóvenes y adultos del Departamento del Quindío en el sector educativo.</t>
  </si>
  <si>
    <t xml:space="preserve">Rendimientos Fiancieros SGP Educación </t>
  </si>
  <si>
    <t>Fortalecimiento e implementación de acciones en el marco de la  prevención de riesgos  y proyectos ambientales escolares -PRAE- en las instituciones educativas adscritas a la Secretaría de Educación del departamento.</t>
  </si>
  <si>
    <t>15.18</t>
  </si>
  <si>
    <t>Servicios de asistencia técnica en innovación educativa en la educación inicial, preescolar, básica y media</t>
  </si>
  <si>
    <t>Instituciones educativas asistidas técnicamente en innovación educativa</t>
  </si>
  <si>
    <t>Fortalecimiento e implementación de estrategias  y practicas pedagógicas innovadoras  en las Instituciones Educativas adscritas a la Secretaría de Educación Departamental.</t>
  </si>
  <si>
    <t xml:space="preserve">Infraestructura  de Instituciones Educativas  con procesos   constructivos ,  y/o mejorados, y/o ampliados, y/o mantenidos, Y/o  reforzados </t>
  </si>
  <si>
    <t>Tranferencia de Recursos para Pequeñas Intervenciones en las Instituciones Educativas del Departamento.</t>
  </si>
  <si>
    <t>Convenio interadministrativo  con Promotora  de Vivienda (PROVIQUINDIO) para  aunar esfuerzos  en el mejoramiento , mantenimiento, adecuación, construcción  y/o reforzamiento  de la infraestructura  educativa en el Departamento del Quindío</t>
  </si>
  <si>
    <t>Transferencia Nación FOME</t>
  </si>
  <si>
    <t>Transferencia de recursos económicos a las Instituciones Educativas para pequeñas intervenciones en Infraestructura Educativa.</t>
  </si>
  <si>
    <t>15.8</t>
  </si>
  <si>
    <t>Servicio de acondicionamiento de ambientes de aprendizaje</t>
  </si>
  <si>
    <t>Ambientes de aprendizaje en funcionamiento</t>
  </si>
  <si>
    <t>Fortalecimiento de la gestión educativa mediante la dotación de material pedagógico para las instituciones  educativas oficiales adscritas a la Secretaría de educación departamental.</t>
  </si>
  <si>
    <t>Superavit  Monopolio</t>
  </si>
  <si>
    <t>0314 - 5 - 1 1 1 15 93 - 20
0314 - 5 - 3 1 3 6 22 1 93 - 20</t>
  </si>
  <si>
    <t>201663000-0093</t>
  </si>
  <si>
    <t>Mejoramiento de estrategias que permitan una mayor eficiencia en la gestion de procesos y proyectos de las instituciones educativas del Departamento del Quindío.</t>
  </si>
  <si>
    <t>Asistir técnicamente a las instituciones educativas del departamento para mejorar los procesos administrativos para el manejo de los fondos educativos.</t>
  </si>
  <si>
    <t>Debida ejecución de los recursos de los fondos educativos</t>
  </si>
  <si>
    <t>Acompañamiento y seguimiento en las acciones de mejora en aspectos contables financieros y presupuestales de las IE del departamento del Quindio</t>
  </si>
  <si>
    <t xml:space="preserve">Ordinario
</t>
  </si>
  <si>
    <t>0314 - 5 - 3 1 3 7 24 1 95 - 20
0314 - 5 - 1 1 1 15 95 - 88</t>
  </si>
  <si>
    <t>201663000-0095</t>
  </si>
  <si>
    <t xml:space="preserve">Fortalecimiento de los niveles de educación  básica y media para la articulación con la educación terciaria en el Departamento del Quindío </t>
  </si>
  <si>
    <t>Mejorar los porcentajes de estudiantes con posibilidad de ingreso a la educación superior y etdh en el departamento del Quindío.</t>
  </si>
  <si>
    <t>Brindar a la población egresada de las instituciones educativas oficiales del departamento, mayores y mejores oportunidades para el ingreso a la educación terciaria</t>
  </si>
  <si>
    <t>Capacitación y Logistica, Talleres de Referentes, Planeación Curricular, Evaluación de los Aprendizajes</t>
  </si>
  <si>
    <t>15.16</t>
  </si>
  <si>
    <t>Servicio de atención integral para la primera infancia</t>
  </si>
  <si>
    <t>Instituciones educativas oficiales que implementan el nivel preescolar en el marco de la atención integral</t>
  </si>
  <si>
    <t>0314 - 5 - 1 1 1 15 101 - 20
0314 - 5 - 1 1 1 15 101 - 88
0314 - 5 - 3 1 3 16 57 1 101 - 20</t>
  </si>
  <si>
    <t>201663000-0101</t>
  </si>
  <si>
    <t xml:space="preserve">Implementación del modelo de atención integral de la educación inicial en el Departamento del  Quindío. </t>
  </si>
  <si>
    <t>Aumentar la tasa de cobertura  de  niños y niñas en edad de transición en las instituciones  educativas del  departamento</t>
  </si>
  <si>
    <t>Implementar  un (1)  programa de educación integral  a la primera infancia</t>
  </si>
  <si>
    <t>Apoyo para el programa de educación inicial en las instiuciones educativas oficiales del Departamento</t>
  </si>
  <si>
    <t>Fortalecimiento e implementación de estrategias que permitan una atención integral en el nivel de preescolar de las instituciones educativas adscritas a la Secretaría de Educación Departamental</t>
  </si>
  <si>
    <t xml:space="preserve">Superavit ordinario </t>
  </si>
  <si>
    <t>15.20</t>
  </si>
  <si>
    <t>Servicio de accesibilidad a contenidos web para fines pedagógicos</t>
  </si>
  <si>
    <t>Establecimientos educativos conectados a internet</t>
  </si>
  <si>
    <t>1404 - 5 - 1 1 1 15 97 - 25</t>
  </si>
  <si>
    <t>201663000-0097</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</si>
  <si>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</si>
  <si>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</si>
  <si>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</si>
  <si>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Fortalecimiento de los servicios de conectividad de los establecimientos educativos oficiales adscritos a la Secretaría de Educación Departamental.</t>
  </si>
  <si>
    <t>S.G.P Educacion</t>
  </si>
  <si>
    <t>Estudiantes con acceso a contenidos web en el establecimiento educativo</t>
  </si>
  <si>
    <t>15.14</t>
  </si>
  <si>
    <t>Servicios educativos de promoción del bilingüismo</t>
  </si>
  <si>
    <t>Estudiantes beneficiados con estrategias de promoción del bilingüismo</t>
  </si>
  <si>
    <t>0314 - 5 - 1 1 1 15 23 - 88</t>
  </si>
  <si>
    <t>202000363-0023</t>
  </si>
  <si>
    <t>Fortalecer las competencias comunicativas en lengua extranjera en estudiantes y docentes de las instituciones educativas oficiales del Departamento del Quindío.</t>
  </si>
  <si>
    <t>Mejorar el nivel de inglés de los niños, niñas y jóvenes que asisten a las Instituciones Educativas oficiales del Departamento del Quindío.</t>
  </si>
  <si>
    <t>* Fortalecer la formación de los docentes y estudiantes de preescolar, básica primaria, básica
secundaria y media en el idioma inglés y metodología para la enseñanza y el aprendizaje del
mismo. 
* Crear ambientes apropiados para el uso del idioma ingles en contexto bilingüe y
bicultural, en las instituciones educativas oficiales del departamento del Quindío. 
* Fortalecer los procesos de, evaluación, seguimiento monitoreo y control</t>
  </si>
  <si>
    <t xml:space="preserve">Fortalecimiento e implementación de estrategias  que contribuyan al mejoramietno  de las competencias  comunicativas  en idioma  extranjero  de los estudiantes  de las Instituciones Educativas  a la Secretaria  de Educación Departamental </t>
  </si>
  <si>
    <t>Instituciones educativas fortalecidas en competencias comunicativas en un segundo idioma</t>
  </si>
  <si>
    <t>15.23</t>
  </si>
  <si>
    <t>Servicio educativo de promoción del bilingüismo para docentes</t>
  </si>
  <si>
    <t>Docentes beneficiados con estrategias de promoción del bilingüismo</t>
  </si>
  <si>
    <t>Fortalecimiento de estrategias que permitan la promción del bilinguismo en las Instituciones Educativas adscristas  a la Secretaría de Educación Departamental</t>
  </si>
  <si>
    <t>15.6</t>
  </si>
  <si>
    <t>Servicio de monitoreo y seguimiento a la gestión del sector educativo</t>
  </si>
  <si>
    <t>Entidades territoriales con seguimiento y evaluación a la gestión.</t>
  </si>
  <si>
    <t>0314 - 5 - 1 1 1 15 24 - 88</t>
  </si>
  <si>
    <t>202000363-0024</t>
  </si>
  <si>
    <t>Fortalecimiento territoral para una gestión educativa integral en la Secretaría de Educación Departamental del Quindío.</t>
  </si>
  <si>
    <t>Fortalecer y propiciar capacidades estratégicas, técnicas y personales en el personal docente, directivo docente y administrativo de la secretaría de educación departamental, con el fin de prestar un servicio educativo de calidad con inclusión y equidad a los niños, niñas, adolescentes, jóvenes y adultos del Departamento Quindío.</t>
  </si>
  <si>
    <t xml:space="preserve">* Articular acciones de apoyo, asesoría y acompañamiento técnico dirigido a docentes, directivos docentes y personal administrativo de las Instituciones Educativas y el Nivel central de la SED. 
* Mejorar las prácticas administrativas al interior de las Instituciones Educativas y el nivel central. 
*Contribuir al mejoramiento de la calidad de vida de los docentes, directivos docentes y administrativos, atendiendo las necesidades relacionadas con mejoramiento de ambientes laborales, desempeño laboral y calidad de vida. 
* Desarrollar las actividades, operaciones y procesos administrativos y financieros que garantice el pago oportuno de salarios, prestaciones sociales, seguridad social, transferencias de nómina, gastos generales y todos aquellos afines a la operación de la prestación del servicio educativo.
</t>
  </si>
  <si>
    <t>44.1</t>
  </si>
  <si>
    <t>Servicio de apoyo para el acceso y la permanencia a la educación superior o terciaria</t>
  </si>
  <si>
    <t>Estrategias o programas de  fomento para  acceso y  permanencia a la educación superior o terciaria implementados</t>
  </si>
  <si>
    <t>0314 - 5 - 1 1 1 44 95 -91 
0314 - 5 - 1 1 1 44 95 - 20</t>
  </si>
  <si>
    <t>Fortalecimiento de los niveles de educación  básica y media para la articulación con la educación terciaria en el Departamento del Quindío.</t>
  </si>
  <si>
    <t>Fortalecimiento e implementacion de estrategias que permitan el acceso y permanencia a la educación técnica, tecnológica o profesional de los estudiantes de las Instituciones Educativas adscritas a la Secretaría de Educación Departamental.</t>
  </si>
  <si>
    <t xml:space="preserve">Superavit monopolio </t>
  </si>
  <si>
    <t>0314 - 5 - 1 1 1 44 122 - 35
0314 - 5 - 1 1 1 44 122 - 88
0314 - 5 - 3 1 3 7 24 1 122 - 20
0314 - 5 - 3 1 3 7 24 1 122 - 35</t>
  </si>
  <si>
    <t>2017003630-122</t>
  </si>
  <si>
    <t>Implementación de un fondo de apoyo departamental para el acceso y la permanencia de la educacion técnica, tecnológica y superior en el Departamento del Quindío.</t>
  </si>
  <si>
    <t>Pago cuota compraventa bien inmueble Institucion Educativa San Jose de Circasia ordenanzas 035 de 2010,047 de 2010 y 020 de 2011</t>
  </si>
  <si>
    <t>Asignación Becas a Estudiantes Egresados de las Instituciones Educativas Oficiales del Departamento</t>
  </si>
  <si>
    <t xml:space="preserve">LILIANA MARÍA SÁNCHEZ VILLADA </t>
  </si>
  <si>
    <t>Secretaria de Educación</t>
  </si>
  <si>
    <t xml:space="preserve">PROGRAMACIÓN PLAN DE ACCIÓN 
SECRETARIA DE EDUCACIÓN
DICIEMBRE 31 DE 2020
</t>
  </si>
  <si>
    <t>SEGUIMIENTO PLAN DE ACCIÓN
SECRETARIA SALUD
DICIEMBRE  31 DE   2020</t>
  </si>
  <si>
    <t>1803 - 5 - 1 1 2 11 146 - 61</t>
  </si>
  <si>
    <t>1803 - 5 - 1 1 2 11 146 - 63</t>
  </si>
  <si>
    <t>Adquisición de mobiliario, equipos tecnológicos, de telecomunicación y computo del Fondo Rotatorio de Estupefacientes.</t>
  </si>
  <si>
    <t>1803 - 5 - 1 1 2 11 146 - 99</t>
  </si>
  <si>
    <t>1803 - 5 - 3 1 3 12 43 2 146 - 61</t>
  </si>
  <si>
    <t>1803 - 5 - 3 1 3 12 43 2 146 - 63</t>
  </si>
  <si>
    <t>Visitas realizadas</t>
  </si>
  <si>
    <t xml:space="preserve">Realizar asist+S45:S46encia técnica en la implementación del protocolo de atención integral en salud con enfoque psicosocial </t>
  </si>
  <si>
    <t>1803 - 5 - 1 1 2 11 148 - 61</t>
  </si>
  <si>
    <t>1803 - 5 - 3 1 3 12 44 2 148 - 61</t>
  </si>
  <si>
    <t>Transferencias de la nación</t>
  </si>
  <si>
    <t>1803 - 5 - 1 1 2 11 151 - 170</t>
  </si>
  <si>
    <t>1803 - 5 - 1 1 2 11 151 - 61</t>
  </si>
  <si>
    <t>1803 - 5 - 1 1 2 11 151 - 98</t>
  </si>
  <si>
    <t>1803 - 5 - 3 1 3 12 46 2 151 - 61</t>
  </si>
  <si>
    <t>1803 - 5 - 1 1 2 11 152 - 170</t>
  </si>
  <si>
    <t>1803 - 5 - 1 1 2 11 152 - 61</t>
  </si>
  <si>
    <t>1803 - 5 - 3 1 3 12 46 2 152 - 61</t>
  </si>
  <si>
    <t>0318 - 5 - 1 1 2 11 155 - 88</t>
  </si>
  <si>
    <t>0318 - 5 - 3 1 3 14 51 2 155 - 20</t>
  </si>
  <si>
    <t>0318 - 5 - 1 1 2 11 158 - 88</t>
  </si>
  <si>
    <t>0318 - 5 - 3 1 3 14 53 2 158 - 20</t>
  </si>
  <si>
    <t>1804 - 5 - 1 1 2 11 160 - 72</t>
  </si>
  <si>
    <t>1804 - 5 - 3 1 3 15 55 2 160 - 72</t>
  </si>
  <si>
    <t>1803 - 5 - 1 1 2 12 132 - 61</t>
  </si>
  <si>
    <t>1803 - 5 - 3 1 3 11 35 2 132 - 61</t>
  </si>
  <si>
    <t>1803 - 5 - 1 1 2 12 133 - 61</t>
  </si>
  <si>
    <t>1803 - 5 - 3 1 3 12 36 2 133 - 61</t>
  </si>
  <si>
    <t>1803 - 5 - 1 1 2 12 135 - 61</t>
  </si>
  <si>
    <t>1803 - 5 - 3 1 3 12 38 2 135 - 61</t>
  </si>
  <si>
    <t>1803 - 5 - 1 1 2 12 138 - 61</t>
  </si>
  <si>
    <t>1803 - 5 - 3 1 3 12 39 2 138 - 61</t>
  </si>
  <si>
    <t>1803 - 5 - 1 1 2 12 139 - 61</t>
  </si>
  <si>
    <t>1803 - 5 - 3 1 3 12 40 2 139 - 61</t>
  </si>
  <si>
    <t>0318 - 5 - 1 1 2 12 141 - 20</t>
  </si>
  <si>
    <t>0318 - 5 - 1 1 2 12 141 - 88</t>
  </si>
  <si>
    <t>0318 - 5 - 3 1 3 12 40 2 141 - 20</t>
  </si>
  <si>
    <t>1803 - 5 - 1 1 2 12 141 - 102</t>
  </si>
  <si>
    <t>1803 - 5 - 1 1 2 12 141 - 111</t>
  </si>
  <si>
    <t>1803 - 5 - 1 1 2 12 141 - 147</t>
  </si>
  <si>
    <t>1803 - 5 - 1 1 2 12 141 - 161</t>
  </si>
  <si>
    <t>1803 - 5 - 1 1 2 12 141 - 61</t>
  </si>
  <si>
    <t>1803 - 5 - 3 1 3 12 40 2 141 - 111</t>
  </si>
  <si>
    <t>1803 - 5 - 3 1 3 12 40 2 141 - 61</t>
  </si>
  <si>
    <t>1803 - 5 - 1 1 2 12 142 - 113</t>
  </si>
  <si>
    <t>1803 - 5 - 1 1 2 12 142 - 114</t>
  </si>
  <si>
    <t>1803 - 5 - 1 1 2 12 142 - 61</t>
  </si>
  <si>
    <t>1803 - 5 - 3 1 3 12 40 2 142 - 61</t>
  </si>
  <si>
    <t>0318 - 5 - 1 1 2 12 2 - 20</t>
  </si>
  <si>
    <t>0318 - 5 - 3 1 3 12 40 2 177 - 20</t>
  </si>
  <si>
    <t>12.13</t>
  </si>
  <si>
    <t>12.10</t>
  </si>
  <si>
    <t>1803 - 5 - 1 1 2 12 145 - 61</t>
  </si>
  <si>
    <t>1803 - 5 - 3 1 3 12 42 2 145 - 61</t>
  </si>
  <si>
    <t>Fortalecimiento en la integracion de la red hospitalaria del Departamento del Quindio mediante la modernizacion del CRUE en el Departamento del Quindio</t>
  </si>
  <si>
    <t>-Centralizar por medio del Centro regulador de urgencias y emergencias las atenciones que se puedan suscitar en el Departamento. -Estandarizar e implementar los formatos de reporte entre los actores involucrados</t>
  </si>
  <si>
    <t>0318 - 5 - 1 1 2 12 157 - 88</t>
  </si>
  <si>
    <t>0318 - 5 - 3 1 3 14 52 2 157 - 20</t>
  </si>
  <si>
    <t>1803 - 5 - 1 1 2 12 150 - 61</t>
  </si>
  <si>
    <t>1803 - 5 - 1 1 2 12 150 - 98</t>
  </si>
  <si>
    <t>1803 - 5 - 3 1 3 12 45 2 150 - 61</t>
  </si>
  <si>
    <t>0318 - 5 - 3 1 3 13 49 2 153 - 20</t>
  </si>
  <si>
    <t>1801 - 5 - 1 1 2 13 153 - 167</t>
  </si>
  <si>
    <t>64</t>
  </si>
  <si>
    <t>Ley 1393</t>
  </si>
  <si>
    <t>1801 - 5 - 1 1 2 13 153 - 64</t>
  </si>
  <si>
    <t>1801 - 5 - 1 1 2 13 153 - 96</t>
  </si>
  <si>
    <t>Realizar acciones para garantizar la prestación de los servicios de salud a la población Inimputable</t>
  </si>
  <si>
    <t>1802 - 5 - 1 1 2 13 154 - 102</t>
  </si>
  <si>
    <t>1802 - 5 - 1 1 2 13 154 - 110</t>
  </si>
  <si>
    <t xml:space="preserve">SUPERAVIT RES. 997 DE 2018 INIMPUTABLES </t>
  </si>
  <si>
    <t>1802 - 5 - 1 1 2 13 154 - 152</t>
  </si>
  <si>
    <t>1802 - 5 - 1 1 2 13 154 - 156</t>
  </si>
  <si>
    <t>1802 - 5 - 1 1 2 13 154 - 167</t>
  </si>
  <si>
    <t>1802 - 5 - 1 1 2 13 154 - 169</t>
  </si>
  <si>
    <t>1802 - 5 - 1 1 2 13 154 - 171</t>
  </si>
  <si>
    <t>1802 - 5 - 1 1 2 13 154 - 174</t>
  </si>
  <si>
    <t>1802 - 5 - 1 1 2 13 154 - 58</t>
  </si>
  <si>
    <t>SGP Salud CSF</t>
  </si>
  <si>
    <t>1802 - 5 - 1 1 2 13 154 - 59</t>
  </si>
  <si>
    <t>174</t>
  </si>
  <si>
    <t>Ley Punto Final</t>
  </si>
  <si>
    <t>1802 - 5 - 1 1 2 13 154 - 65</t>
  </si>
  <si>
    <t>1802 - 5 - 1 1 2 13 154 - 96</t>
  </si>
  <si>
    <t>1802 - 5 - 1 1 2 13 154 - 97</t>
  </si>
  <si>
    <t>1804 - 5 - 1 1 2 13 154 - 102</t>
  </si>
  <si>
    <t>1804 - 5 - 1 1 2 13 154 - 96</t>
  </si>
  <si>
    <t>Nación Excedentes Patronales ESE Depto</t>
  </si>
  <si>
    <t>0318 - 5 - 3 1 3 14 54 2 159 - 20</t>
  </si>
  <si>
    <t>1804 - 5 - 1 1 2 13 159 - 168</t>
  </si>
  <si>
    <t>Realizar gestión de cartera de acuerdo con lo estipulado en la circular conjunta 030 del 2013</t>
  </si>
  <si>
    <t>1804 - 5 - 1 1 2 13 159 - 180</t>
  </si>
  <si>
    <t>0318 - 5 - 1 1 2 13 159 - 88</t>
  </si>
  <si>
    <t>180</t>
  </si>
  <si>
    <t>Discapacidad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</si>
</sst>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 #,##0.00_);_(&quot;$&quot;\ * \(#,##0.00\);_(&quot;$&quot;\ * &quot;-&quot;??_);_(@_)"/>
    <numFmt numFmtId="43" formatCode="_(* #,##0.00_);_(* \(#,##0.00\);_(* &quot;-&quot;??_);_(@_)"/>
    <numFmt numFmtId="164" formatCode="_(&quot;$&quot;* #,##0.00_);_(&quot;$&quot;* \(#,##0.00\);_(&quot;$&quot;* &quot;-&quot;??_);_(@_)"/>
    <numFmt numFmtId="165" formatCode="0.0"/>
    <numFmt numFmtId="166" formatCode="&quot;$&quot;\ #,##0"/>
    <numFmt numFmtId="167" formatCode="dd/mm/yyyy;@"/>
    <numFmt numFmtId="168" formatCode="d/mm/yyyy;@"/>
    <numFmt numFmtId="169" formatCode="_([$$-240A]\ * #,##0.00_);_([$$-240A]\ * \(#,##0.00\);_([$$-240A]\ * &quot;-&quot;??_);_(@_)"/>
    <numFmt numFmtId="170" formatCode="_-* #,##0_-;\-* #,##0_-;_-* &quot;-&quot;_-;_-@_-"/>
    <numFmt numFmtId="171" formatCode="_-* #,##0_-;\-* #,##0_-;_-* &quot;-&quot;??_-;_-@_-"/>
    <numFmt numFmtId="172" formatCode="00"/>
    <numFmt numFmtId="173" formatCode="_-* #,##0.00_-;\-* #,##0.00_-;_-* &quot;-&quot;??_-;_-@_-"/>
    <numFmt numFmtId="174" formatCode="_(* #,##0_);_(* \(#,##0\);_(* &quot;-&quot;??_);_(@_)"/>
    <numFmt numFmtId="175" formatCode="_-&quot;$&quot;\ * #,##0.00_-;\-&quot;$&quot;\ * #,##0.00_-;_-&quot;$&quot;\ * &quot;-&quot;??_-;_-@_-"/>
    <numFmt numFmtId="176" formatCode="&quot;$&quot;\ #,##0.00"/>
    <numFmt numFmtId="177" formatCode="_-&quot;$&quot;* #,##0_-;\-&quot;$&quot;* #,##0_-;_-&quot;$&quot;* &quot;-&quot;_-;_-@_-"/>
    <numFmt numFmtId="178" formatCode="_-* #,##0.00_-;\-* #,##0.00_-;_-* &quot;-&quot;???_-;_-@_-"/>
    <numFmt numFmtId="179" formatCode="#,##0;[Red]#,##0"/>
    <numFmt numFmtId="180" formatCode="_-* #,##0.00_-;\-* #,##0.00_-;_-* &quot;-&quot;_-;_-@_-"/>
    <numFmt numFmtId="181" formatCode="_-&quot;$&quot;* #,##0.00_-;\-&quot;$&quot;* #,##0.00_-;_-&quot;$&quot;* &quot;-&quot;??_-;_-@_-"/>
    <numFmt numFmtId="182" formatCode="_ [$€-2]\ * #,##0.00_ ;_ [$€-2]\ * \-#,##0.00_ ;_ [$€-2]\ * &quot;-&quot;??_ "/>
    <numFmt numFmtId="183" formatCode="&quot;$&quot;\ #,##0.0000"/>
  </numFmts>
  <fonts count="45"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2"/>
      <color indexed="8"/>
      <name val="Arial"/>
      <family val="2"/>
    </font>
    <font>
      <b/>
      <sz val="10"/>
      <color theme="1"/>
      <name val="Arial"/>
      <family val="2"/>
    </font>
    <font>
      <b/>
      <sz val="12"/>
      <name val="Arial"/>
      <family val="2"/>
    </font>
    <font>
      <sz val="12"/>
      <name val="Arial"/>
      <family val="2"/>
    </font>
    <font>
      <sz val="10"/>
      <name val="Arial"/>
      <family val="2"/>
    </font>
    <font>
      <sz val="10"/>
      <color theme="1"/>
      <name val="Arial"/>
      <family val="2"/>
    </font>
    <font>
      <sz val="12"/>
      <color rgb="FF000000"/>
      <name val="Calibri"/>
      <family val="2"/>
    </font>
    <font>
      <b/>
      <sz val="11"/>
      <color rgb="FF6F6F6E"/>
      <name val="Calibri"/>
      <family val="2"/>
      <scheme val="minor"/>
    </font>
    <font>
      <sz val="10"/>
      <color rgb="FF000000"/>
      <name val="Calibri"/>
      <family val="2"/>
    </font>
    <font>
      <sz val="11"/>
      <color rgb="FF000000"/>
      <name val="Calibri"/>
      <family val="2"/>
    </font>
    <font>
      <b/>
      <sz val="14"/>
      <color theme="1"/>
      <name val="Arial"/>
      <family val="2"/>
    </font>
    <font>
      <b/>
      <sz val="11"/>
      <color theme="1"/>
      <name val="Arial"/>
      <family val="2"/>
    </font>
    <font>
      <sz val="11"/>
      <color theme="1"/>
      <name val="Arial"/>
      <family val="2"/>
    </font>
    <font>
      <b/>
      <sz val="11"/>
      <color indexed="8"/>
      <name val="Arial"/>
      <family val="2"/>
    </font>
    <font>
      <sz val="12"/>
      <color rgb="FF000000"/>
      <name val="Arial"/>
      <family val="2"/>
    </font>
    <font>
      <sz val="12"/>
      <color indexed="8"/>
      <name val="Arial"/>
      <family val="2"/>
    </font>
    <font>
      <sz val="11"/>
      <name val="Calibri"/>
      <family val="2"/>
      <scheme val="minor"/>
    </font>
    <font>
      <b/>
      <sz val="11"/>
      <name val="Arial"/>
      <family val="2"/>
    </font>
    <font>
      <vertAlign val="superscript"/>
      <sz val="12"/>
      <color theme="1"/>
      <name val="Arial"/>
      <family val="2"/>
    </font>
    <font>
      <sz val="11"/>
      <name val="Arial"/>
      <family val="2"/>
    </font>
    <font>
      <b/>
      <sz val="10"/>
      <name val="Arial"/>
      <family val="2"/>
    </font>
    <font>
      <sz val="10"/>
      <color theme="1"/>
      <name val="Calibri"/>
      <family val="2"/>
      <scheme val="minor"/>
    </font>
    <font>
      <sz val="12"/>
      <color theme="1"/>
      <name val="Calibri"/>
      <family val="2"/>
      <scheme val="minor"/>
    </font>
    <font>
      <b/>
      <sz val="10"/>
      <color rgb="FFFFFFFF"/>
      <name val="Arial"/>
      <family val="2"/>
    </font>
    <font>
      <b/>
      <sz val="12"/>
      <name val="Calibri"/>
      <family val="2"/>
      <scheme val="minor"/>
    </font>
    <font>
      <sz val="12"/>
      <name val="Calibri"/>
      <family val="2"/>
      <scheme val="minor"/>
    </font>
    <font>
      <b/>
      <sz val="12"/>
      <color rgb="FFFF0000"/>
      <name val="Arial"/>
      <family val="2"/>
    </font>
    <font>
      <sz val="14"/>
      <name val="Arial"/>
      <family val="2"/>
    </font>
    <font>
      <sz val="12"/>
      <color rgb="FF222222"/>
      <name val="Calibri"/>
      <family val="2"/>
    </font>
    <font>
      <b/>
      <sz val="16"/>
      <color theme="1"/>
      <name val="Arial"/>
      <family val="2"/>
    </font>
    <font>
      <sz val="14"/>
      <color theme="1"/>
      <name val="Arial"/>
      <family val="2"/>
    </font>
    <font>
      <sz val="11"/>
      <color indexed="8"/>
      <name val="Calibri"/>
      <family val="2"/>
    </font>
    <font>
      <b/>
      <sz val="12"/>
      <color rgb="FF000000"/>
      <name val="Arial"/>
      <family val="2"/>
    </font>
    <font>
      <sz val="11"/>
      <color rgb="FF000000"/>
      <name val="Arial"/>
      <family val="2"/>
    </font>
    <font>
      <sz val="11"/>
      <color rgb="FF000000"/>
      <name val="Arial Narrow"/>
      <family val="2"/>
    </font>
    <font>
      <sz val="14"/>
      <color rgb="FF000000"/>
      <name val="Arial"/>
      <family val="2"/>
    </font>
    <font>
      <b/>
      <sz val="12"/>
      <color rgb="FFFFFFFF"/>
      <name val="Arial"/>
      <family val="2"/>
    </font>
    <font>
      <b/>
      <sz val="14"/>
      <color rgb="FFFF0000"/>
      <name val="Arial"/>
      <family val="2"/>
    </font>
    <font>
      <b/>
      <sz val="9"/>
      <color indexed="81"/>
      <name val="Tahoma"/>
      <family val="2"/>
    </font>
    <font>
      <sz val="9"/>
      <color indexed="81"/>
      <name val="Tahoma"/>
      <family val="2"/>
    </font>
    <font>
      <sz val="12"/>
      <color rgb="FF323130"/>
      <name val="Arial"/>
      <family val="2"/>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rgb="FFFFFFFF"/>
        <bgColor rgb="FF000000"/>
      </patternFill>
    </fill>
    <fill>
      <patternFill patternType="solid">
        <fgColor rgb="FFFF0000"/>
        <bgColor indexed="64"/>
      </patternFill>
    </fill>
    <fill>
      <patternFill patternType="solid">
        <fgColor indexed="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0"/>
        <bgColor rgb="FF000000"/>
      </patternFill>
    </fill>
    <fill>
      <patternFill patternType="solid">
        <fgColor rgb="FF92D050"/>
        <bgColor indexed="64"/>
      </patternFill>
    </fill>
    <fill>
      <patternFill patternType="solid">
        <fgColor theme="4" tint="0.59999389629810485"/>
        <bgColor indexed="64"/>
      </patternFill>
    </fill>
    <fill>
      <patternFill patternType="solid">
        <fgColor theme="7" tint="0.59999389629810485"/>
        <bgColor indexed="64"/>
      </patternFill>
    </fill>
  </fills>
  <borders count="8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right/>
      <top style="thin">
        <color indexed="64"/>
      </top>
      <bottom/>
      <diagonal/>
    </border>
    <border>
      <left style="thin">
        <color indexed="64"/>
      </left>
      <right/>
      <top/>
      <bottom style="thin">
        <color auto="1"/>
      </bottom>
      <diagonal/>
    </border>
    <border>
      <left/>
      <right style="thin">
        <color auto="1"/>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auto="1"/>
      </right>
      <top/>
      <bottom/>
      <diagonal/>
    </border>
    <border>
      <left style="thin">
        <color indexed="64"/>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auto="1"/>
      </right>
      <top/>
      <bottom style="thin">
        <color rgb="FF000000"/>
      </bottom>
      <diagonal/>
    </border>
    <border>
      <left style="thin">
        <color indexed="64"/>
      </left>
      <right style="thin">
        <color indexed="64"/>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style="thin">
        <color auto="1"/>
      </right>
      <top style="thin">
        <color indexed="64"/>
      </top>
      <bottom/>
      <diagonal/>
    </border>
    <border>
      <left style="thin">
        <color rgb="FF000000"/>
      </left>
      <right style="thin">
        <color auto="1"/>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top/>
      <bottom/>
      <diagonal/>
    </border>
    <border>
      <left/>
      <right style="thin">
        <color rgb="FF000000"/>
      </right>
      <top style="thin">
        <color rgb="FF000000"/>
      </top>
      <bottom/>
      <diagonal/>
    </border>
    <border>
      <left style="thin">
        <color rgb="FF522B57"/>
      </left>
      <right style="thin">
        <color rgb="FF522B57"/>
      </right>
      <top style="thin">
        <color rgb="FF522B57"/>
      </top>
      <bottom style="thin">
        <color rgb="FF522B57"/>
      </bottom>
      <diagonal/>
    </border>
    <border>
      <left style="thin">
        <color rgb="FF000000"/>
      </left>
      <right style="thin">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top/>
      <bottom style="thin">
        <color rgb="FF000000"/>
      </bottom>
      <diagonal/>
    </border>
    <border>
      <left/>
      <right/>
      <top style="thin">
        <color rgb="FF000000"/>
      </top>
      <bottom/>
      <diagonal/>
    </border>
    <border>
      <left/>
      <right style="thin">
        <color auto="1"/>
      </right>
      <top style="thin">
        <color rgb="FF000000"/>
      </top>
      <bottom/>
      <diagonal/>
    </border>
    <border>
      <left style="thin">
        <color indexed="64"/>
      </left>
      <right style="thin">
        <color auto="1"/>
      </right>
      <top style="thin">
        <color rgb="FF000000"/>
      </top>
      <bottom/>
      <diagonal/>
    </border>
    <border>
      <left style="thin">
        <color rgb="FF000000"/>
      </left>
      <right style="thin">
        <color indexed="64"/>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rgb="FF000000"/>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auto="1"/>
      </right>
      <top/>
      <bottom style="thin">
        <color rgb="FF000000"/>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rgb="FF000000"/>
      </right>
      <top/>
      <bottom style="thin">
        <color rgb="FF000000"/>
      </bottom>
      <diagonal/>
    </border>
    <border>
      <left/>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top/>
      <bottom style="thin">
        <color rgb="FF000000"/>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top style="thin">
        <color auto="1"/>
      </top>
      <bottom style="thin">
        <color auto="1"/>
      </bottom>
      <diagonal/>
    </border>
    <border>
      <left style="thin">
        <color rgb="FF000000"/>
      </left>
      <right style="thin">
        <color rgb="FF000000"/>
      </right>
      <top style="thin">
        <color auto="1"/>
      </top>
      <bottom style="thin">
        <color rgb="FF000000"/>
      </bottom>
      <diagonal/>
    </border>
    <border>
      <left style="thin">
        <color rgb="FF000000"/>
      </left>
      <right/>
      <top style="thin">
        <color rgb="FF000000"/>
      </top>
      <bottom style="thin">
        <color indexed="64"/>
      </bottom>
      <diagonal/>
    </border>
  </borders>
  <cellStyleXfs count="2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9" fontId="11" fillId="7" borderId="43">
      <alignment horizontal="center" vertical="center" wrapText="1"/>
    </xf>
    <xf numFmtId="170"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7" fontId="1" fillId="0" borderId="0" applyFont="0" applyFill="0" applyBorder="0" applyAlignment="0" applyProtection="0"/>
    <xf numFmtId="173" fontId="1" fillId="0" borderId="0" applyFont="0" applyFill="0" applyBorder="0" applyAlignment="0" applyProtection="0"/>
    <xf numFmtId="44" fontId="1"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1" fillId="0" borderId="0" applyFont="0" applyFill="0" applyBorder="0" applyAlignment="0" applyProtection="0"/>
    <xf numFmtId="0" fontId="9" fillId="0" borderId="0"/>
    <xf numFmtId="43" fontId="1" fillId="0" borderId="0" applyFont="0" applyFill="0" applyBorder="0" applyAlignment="0" applyProtection="0"/>
    <xf numFmtId="181" fontId="1" fillId="0" borderId="0" applyFont="0" applyFill="0" applyBorder="0" applyAlignment="0" applyProtection="0"/>
    <xf numFmtId="0" fontId="1" fillId="0" borderId="0"/>
    <xf numFmtId="182" fontId="1" fillId="0" borderId="0"/>
    <xf numFmtId="43" fontId="35" fillId="0" borderId="0" applyFont="0" applyFill="0" applyBorder="0" applyAlignment="0" applyProtection="0"/>
    <xf numFmtId="0" fontId="8" fillId="0" borderId="0"/>
    <xf numFmtId="43" fontId="35" fillId="0" borderId="0" applyFont="0" applyFill="0" applyBorder="0" applyAlignment="0" applyProtection="0"/>
    <xf numFmtId="173" fontId="1" fillId="0" borderId="0" applyFont="0" applyFill="0" applyBorder="0" applyAlignment="0" applyProtection="0"/>
  </cellStyleXfs>
  <cellXfs count="4080">
    <xf numFmtId="0" fontId="0" fillId="0" borderId="0" xfId="0"/>
    <xf numFmtId="0" fontId="2" fillId="0" borderId="2" xfId="0" applyFont="1" applyBorder="1" applyAlignment="1">
      <alignment horizontal="center" vertical="center"/>
    </xf>
    <xf numFmtId="0" fontId="2" fillId="0" borderId="2" xfId="0" applyFont="1" applyBorder="1" applyAlignment="1">
      <alignment vertical="center"/>
    </xf>
    <xf numFmtId="0" fontId="3" fillId="2" borderId="0" xfId="0" applyFont="1" applyFill="1"/>
    <xf numFmtId="0" fontId="3" fillId="0" borderId="0" xfId="0" applyFont="1"/>
    <xf numFmtId="0" fontId="2" fillId="0" borderId="2" xfId="0" applyFont="1" applyBorder="1" applyAlignment="1">
      <alignment vertical="center" wrapText="1"/>
    </xf>
    <xf numFmtId="3" fontId="4" fillId="0" borderId="2" xfId="0" applyNumberFormat="1" applyFont="1" applyBorder="1" applyAlignment="1">
      <alignment horizontal="left" vertical="center" wrapText="1"/>
    </xf>
    <xf numFmtId="0" fontId="2" fillId="0" borderId="6" xfId="0" applyFont="1" applyBorder="1" applyAlignment="1">
      <alignment horizontal="justify" vertical="center" wrapText="1"/>
    </xf>
    <xf numFmtId="0" fontId="2" fillId="0" borderId="3" xfId="0" applyFont="1" applyBorder="1" applyAlignment="1">
      <alignment vertical="center"/>
    </xf>
    <xf numFmtId="0" fontId="2" fillId="0" borderId="3" xfId="0" applyFont="1" applyBorder="1" applyAlignment="1">
      <alignment horizontal="center" vertical="center"/>
    </xf>
    <xf numFmtId="0" fontId="5" fillId="0" borderId="3" xfId="0" applyFont="1" applyBorder="1" applyAlignment="1">
      <alignment horizontal="left" vertical="center" wrapText="1"/>
    </xf>
    <xf numFmtId="164" fontId="2" fillId="0" borderId="3" xfId="0" applyNumberFormat="1" applyFont="1" applyBorder="1" applyAlignment="1">
      <alignment vertical="center"/>
    </xf>
    <xf numFmtId="0" fontId="2" fillId="0" borderId="4" xfId="0" applyFont="1" applyBorder="1" applyAlignment="1">
      <alignment vertical="center"/>
    </xf>
    <xf numFmtId="0" fontId="2" fillId="3" borderId="5" xfId="0"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0" fontId="2" fillId="3" borderId="9" xfId="0" applyFont="1" applyFill="1" applyBorder="1" applyAlignment="1">
      <alignment horizontal="center" vertical="center" textRotation="90" wrapText="1"/>
    </xf>
    <xf numFmtId="49" fontId="2" fillId="3" borderId="9" xfId="0" applyNumberFormat="1"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0" fontId="6" fillId="5" borderId="2" xfId="0" applyFont="1" applyFill="1" applyBorder="1" applyAlignment="1">
      <alignment horizontal="left" vertical="center" wrapText="1"/>
    </xf>
    <xf numFmtId="0" fontId="6" fillId="5" borderId="2" xfId="0" applyFont="1" applyFill="1" applyBorder="1" applyAlignment="1">
      <alignment horizontal="left" vertical="center"/>
    </xf>
    <xf numFmtId="0" fontId="3" fillId="5" borderId="2" xfId="0" applyFont="1" applyFill="1" applyBorder="1"/>
    <xf numFmtId="0" fontId="2" fillId="5" borderId="2" xfId="0" applyFont="1" applyFill="1" applyBorder="1" applyAlignment="1">
      <alignment vertical="center"/>
    </xf>
    <xf numFmtId="0" fontId="2" fillId="5" borderId="2" xfId="0" applyFont="1" applyFill="1" applyBorder="1" applyAlignment="1">
      <alignment horizontal="justify" vertical="center"/>
    </xf>
    <xf numFmtId="0" fontId="2" fillId="5" borderId="2" xfId="0" applyFont="1" applyFill="1" applyBorder="1" applyAlignment="1">
      <alignment horizontal="justify" vertical="center" wrapText="1"/>
    </xf>
    <xf numFmtId="0" fontId="2" fillId="5" borderId="2" xfId="0" applyFont="1" applyFill="1" applyBorder="1" applyAlignment="1">
      <alignment horizontal="center" vertical="center"/>
    </xf>
    <xf numFmtId="165" fontId="2" fillId="5" borderId="2" xfId="0" applyNumberFormat="1" applyFont="1" applyFill="1" applyBorder="1" applyAlignment="1">
      <alignment horizontal="center" vertical="center"/>
    </xf>
    <xf numFmtId="166" fontId="2" fillId="5" borderId="2" xfId="0" applyNumberFormat="1" applyFont="1" applyFill="1" applyBorder="1" applyAlignment="1">
      <alignment vertical="center"/>
    </xf>
    <xf numFmtId="0" fontId="5" fillId="5" borderId="2" xfId="0" applyFont="1" applyFill="1" applyBorder="1" applyAlignment="1">
      <alignment horizontal="left" vertical="center" wrapText="1"/>
    </xf>
    <xf numFmtId="164" fontId="2" fillId="5" borderId="2"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67" fontId="2" fillId="5" borderId="2" xfId="0" applyNumberFormat="1" applyFont="1" applyFill="1" applyBorder="1" applyAlignment="1">
      <alignment horizontal="center" vertical="center"/>
    </xf>
    <xf numFmtId="0" fontId="2" fillId="5" borderId="12" xfId="0" applyFont="1" applyFill="1" applyBorder="1" applyAlignment="1">
      <alignment horizontal="justify" vertical="center"/>
    </xf>
    <xf numFmtId="1" fontId="2" fillId="2" borderId="13"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6" fillId="6" borderId="2" xfId="0" applyFont="1" applyFill="1" applyBorder="1" applyAlignment="1">
      <alignment horizontal="left" vertical="center"/>
    </xf>
    <xf numFmtId="0" fontId="6" fillId="6" borderId="2" xfId="0" applyFont="1" applyFill="1" applyBorder="1" applyAlignment="1">
      <alignment vertical="center"/>
    </xf>
    <xf numFmtId="0" fontId="2" fillId="6" borderId="3" xfId="0" applyFont="1" applyFill="1" applyBorder="1" applyAlignment="1">
      <alignment vertical="center"/>
    </xf>
    <xf numFmtId="0" fontId="2" fillId="6" borderId="0" xfId="0" applyFont="1" applyFill="1" applyBorder="1" applyAlignment="1">
      <alignment vertical="center"/>
    </xf>
    <xf numFmtId="0" fontId="2" fillId="6" borderId="0" xfId="0" applyFont="1" applyFill="1" applyBorder="1" applyAlignment="1">
      <alignment horizontal="justify" vertical="center"/>
    </xf>
    <xf numFmtId="0" fontId="2" fillId="6" borderId="0" xfId="0" applyFont="1" applyFill="1" applyBorder="1" applyAlignment="1">
      <alignment horizontal="justify" vertical="center" wrapText="1"/>
    </xf>
    <xf numFmtId="0" fontId="2" fillId="6" borderId="0" xfId="0" applyFont="1" applyFill="1" applyBorder="1" applyAlignment="1">
      <alignment horizontal="center" vertical="center"/>
    </xf>
    <xf numFmtId="165" fontId="2" fillId="6" borderId="0" xfId="0" applyNumberFormat="1" applyFont="1" applyFill="1" applyBorder="1" applyAlignment="1">
      <alignment horizontal="center" vertical="center"/>
    </xf>
    <xf numFmtId="166" fontId="2" fillId="6" borderId="0" xfId="0" applyNumberFormat="1" applyFont="1" applyFill="1" applyBorder="1" applyAlignment="1">
      <alignment vertical="center"/>
    </xf>
    <xf numFmtId="0" fontId="5" fillId="6" borderId="0" xfId="0" applyFont="1" applyFill="1" applyBorder="1" applyAlignment="1">
      <alignment horizontal="left" vertical="center" wrapText="1"/>
    </xf>
    <xf numFmtId="164" fontId="2" fillId="6" borderId="0" xfId="0" applyNumberFormat="1" applyFont="1" applyFill="1" applyBorder="1" applyAlignment="1">
      <alignment horizontal="center" vertical="center"/>
    </xf>
    <xf numFmtId="1" fontId="2" fillId="6" borderId="0" xfId="0" applyNumberFormat="1" applyFont="1" applyFill="1" applyBorder="1" applyAlignment="1">
      <alignment horizontal="center" vertical="center"/>
    </xf>
    <xf numFmtId="167" fontId="2" fillId="6" borderId="0" xfId="0" applyNumberFormat="1" applyFont="1" applyFill="1" applyBorder="1" applyAlignment="1">
      <alignment horizontal="center" vertical="center"/>
    </xf>
    <xf numFmtId="0" fontId="2" fillId="6" borderId="1" xfId="0" applyFont="1" applyFill="1" applyBorder="1" applyAlignment="1">
      <alignment horizontal="justify" vertical="center"/>
    </xf>
    <xf numFmtId="1" fontId="2" fillId="0" borderId="1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9" xfId="0" applyFont="1" applyFill="1" applyBorder="1" applyAlignment="1">
      <alignment horizontal="left" vertical="center"/>
    </xf>
    <xf numFmtId="0" fontId="6" fillId="0" borderId="0" xfId="0" applyFont="1" applyFill="1" applyBorder="1" applyAlignment="1">
      <alignment vertical="center"/>
    </xf>
    <xf numFmtId="0" fontId="2" fillId="0" borderId="7" xfId="0" applyFont="1" applyFill="1" applyBorder="1" applyAlignment="1">
      <alignment vertical="center"/>
    </xf>
    <xf numFmtId="0" fontId="8" fillId="0" borderId="2" xfId="0" applyFont="1" applyBorder="1" applyAlignment="1">
      <alignment horizontal="justify" vertical="center" wrapText="1"/>
    </xf>
    <xf numFmtId="1" fontId="3" fillId="0" borderId="17" xfId="0" applyNumberFormat="1" applyFont="1" applyFill="1" applyBorder="1" applyAlignment="1">
      <alignment horizontal="center" vertical="center"/>
    </xf>
    <xf numFmtId="0" fontId="3" fillId="0" borderId="17" xfId="0" applyFont="1" applyBorder="1" applyAlignment="1">
      <alignment horizontal="center" vertical="center" wrapText="1"/>
    </xf>
    <xf numFmtId="0" fontId="3" fillId="0" borderId="0" xfId="0" applyFont="1" applyFill="1"/>
    <xf numFmtId="0" fontId="6" fillId="0" borderId="14" xfId="0" applyFont="1" applyFill="1" applyBorder="1" applyAlignment="1">
      <alignment horizontal="left" vertical="center"/>
    </xf>
    <xf numFmtId="0" fontId="2" fillId="0" borderId="1" xfId="0" applyFont="1" applyFill="1" applyBorder="1" applyAlignment="1">
      <alignment vertical="center"/>
    </xf>
    <xf numFmtId="1" fontId="3" fillId="0" borderId="17" xfId="0" applyNumberFormat="1" applyFont="1" applyBorder="1" applyAlignment="1">
      <alignment horizontal="center" vertical="center"/>
    </xf>
    <xf numFmtId="0" fontId="3" fillId="0" borderId="17" xfId="0" applyFont="1" applyBorder="1" applyAlignment="1">
      <alignment horizontal="center" vertical="center"/>
    </xf>
    <xf numFmtId="1" fontId="3" fillId="2" borderId="1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6" borderId="2" xfId="0" applyFont="1" applyFill="1" applyBorder="1" applyAlignment="1">
      <alignment horizontal="center" vertical="center"/>
    </xf>
    <xf numFmtId="0" fontId="3"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3" fillId="6" borderId="15" xfId="0" applyFont="1" applyFill="1" applyBorder="1" applyAlignment="1">
      <alignment horizontal="justify" vertical="center" wrapText="1"/>
    </xf>
    <xf numFmtId="0" fontId="3" fillId="6" borderId="15" xfId="0" applyFont="1" applyFill="1" applyBorder="1" applyAlignment="1">
      <alignment vertical="center" wrapText="1"/>
    </xf>
    <xf numFmtId="165" fontId="3" fillId="6" borderId="15" xfId="0" applyNumberFormat="1" applyFont="1" applyFill="1" applyBorder="1" applyAlignment="1">
      <alignment horizontal="center" vertical="center" wrapText="1"/>
    </xf>
    <xf numFmtId="0" fontId="9" fillId="6" borderId="15" xfId="0" applyFont="1" applyFill="1" applyBorder="1" applyAlignment="1">
      <alignment horizontal="left" vertical="center" wrapText="1"/>
    </xf>
    <xf numFmtId="1" fontId="3" fillId="6" borderId="15" xfId="0" applyNumberFormat="1" applyFont="1" applyFill="1" applyBorder="1" applyAlignment="1">
      <alignment horizontal="center" vertical="center" wrapText="1"/>
    </xf>
    <xf numFmtId="1" fontId="2" fillId="6" borderId="15" xfId="0" applyNumberFormat="1" applyFont="1" applyFill="1" applyBorder="1" applyAlignment="1">
      <alignment horizontal="center" vertical="center" textRotation="180" wrapText="1"/>
    </xf>
    <xf numFmtId="1" fontId="2" fillId="6" borderId="15" xfId="0" applyNumberFormat="1" applyFont="1" applyFill="1" applyBorder="1" applyAlignment="1">
      <alignment vertical="center" textRotation="180"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justify" vertical="center" wrapText="1"/>
    </xf>
    <xf numFmtId="1" fontId="3" fillId="2" borderId="15" xfId="0" applyNumberFormat="1" applyFont="1" applyFill="1" applyBorder="1" applyAlignment="1">
      <alignment horizontal="center" vertical="center" wrapText="1"/>
    </xf>
    <xf numFmtId="168" fontId="3" fillId="2" borderId="9"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9" xfId="0" applyFont="1" applyBorder="1" applyAlignment="1">
      <alignment horizontal="justify" vertical="center" wrapText="1"/>
    </xf>
    <xf numFmtId="1" fontId="3" fillId="2" borderId="15" xfId="0" applyNumberFormat="1" applyFont="1" applyFill="1" applyBorder="1" applyAlignment="1">
      <alignment horizontal="center" vertical="center"/>
    </xf>
    <xf numFmtId="0" fontId="8" fillId="2" borderId="10"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27" xfId="0" applyFont="1" applyFill="1" applyBorder="1" applyAlignment="1">
      <alignment horizontal="justify" vertical="center" wrapText="1"/>
    </xf>
    <xf numFmtId="1"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8" fillId="0" borderId="23" xfId="0" applyFont="1" applyBorder="1" applyAlignment="1">
      <alignment horizontal="justify" vertical="center" wrapText="1"/>
    </xf>
    <xf numFmtId="1" fontId="3" fillId="2" borderId="30" xfId="0" applyNumberFormat="1" applyFont="1" applyFill="1" applyBorder="1" applyAlignment="1">
      <alignment horizontal="center" vertical="center" wrapText="1"/>
    </xf>
    <xf numFmtId="0" fontId="8" fillId="0" borderId="39"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17" xfId="0" applyFont="1" applyBorder="1" applyAlignment="1">
      <alignment horizontal="justify" vertical="center" wrapText="1"/>
    </xf>
    <xf numFmtId="0" fontId="3" fillId="0" borderId="17" xfId="0" applyFont="1" applyBorder="1" applyAlignment="1">
      <alignment horizontal="justify" vertical="center" wrapText="1"/>
    </xf>
    <xf numFmtId="0" fontId="3" fillId="2" borderId="38" xfId="0" applyFont="1" applyFill="1" applyBorder="1" applyAlignment="1">
      <alignment horizontal="center" vertical="center"/>
    </xf>
    <xf numFmtId="9" fontId="3" fillId="2" borderId="15" xfId="3" applyFont="1" applyFill="1" applyBorder="1" applyAlignment="1">
      <alignment horizontal="center" vertical="center" wrapText="1"/>
    </xf>
    <xf numFmtId="0" fontId="8" fillId="0" borderId="29" xfId="0" applyFont="1" applyBorder="1" applyAlignment="1">
      <alignment horizontal="justify"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justify" vertical="center" wrapText="1"/>
    </xf>
    <xf numFmtId="0" fontId="3" fillId="2" borderId="40" xfId="0" applyFont="1" applyFill="1" applyBorder="1" applyAlignment="1">
      <alignment horizontal="justify" vertical="center" wrapText="1"/>
    </xf>
    <xf numFmtId="9" fontId="3" fillId="2" borderId="2" xfId="3"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1" fontId="3" fillId="0" borderId="0" xfId="0" applyNumberFormat="1" applyFont="1"/>
    <xf numFmtId="0" fontId="3" fillId="0" borderId="1" xfId="0" applyFont="1" applyBorder="1"/>
    <xf numFmtId="0" fontId="3" fillId="0" borderId="14" xfId="0" applyFont="1" applyBorder="1"/>
    <xf numFmtId="0" fontId="3" fillId="0" borderId="0" xfId="0" applyFont="1" applyBorder="1"/>
    <xf numFmtId="0" fontId="3" fillId="0" borderId="2" xfId="0" applyFont="1" applyBorder="1" applyAlignment="1">
      <alignment horizontal="center" vertical="center"/>
    </xf>
    <xf numFmtId="0" fontId="7" fillId="0" borderId="2" xfId="0" applyFont="1" applyBorder="1" applyAlignment="1">
      <alignment horizontal="justify" vertical="center" wrapText="1"/>
    </xf>
    <xf numFmtId="0" fontId="3" fillId="0" borderId="10" xfId="0" applyFont="1" applyBorder="1" applyAlignment="1">
      <alignment horizontal="justify" vertical="center" wrapText="1"/>
    </xf>
    <xf numFmtId="0" fontId="6" fillId="0" borderId="0" xfId="0" applyFont="1" applyBorder="1" applyAlignment="1">
      <alignment horizontal="left" vertical="center"/>
    </xf>
    <xf numFmtId="0" fontId="3" fillId="0" borderId="9" xfId="0" applyFont="1" applyBorder="1" applyAlignment="1">
      <alignment horizontal="center" vertical="center"/>
    </xf>
    <xf numFmtId="0" fontId="3" fillId="2" borderId="9" xfId="0" applyFont="1" applyFill="1" applyBorder="1" applyAlignment="1">
      <alignment horizontal="justify" vertical="center" wrapText="1"/>
    </xf>
    <xf numFmtId="0" fontId="3" fillId="0" borderId="8" xfId="0" applyFont="1" applyBorder="1" applyAlignment="1">
      <alignment horizontal="justify" vertical="center" wrapText="1"/>
    </xf>
    <xf numFmtId="9" fontId="3" fillId="2" borderId="9" xfId="3" applyFont="1" applyFill="1" applyBorder="1" applyAlignment="1">
      <alignment horizontal="center" vertical="center" wrapText="1"/>
    </xf>
    <xf numFmtId="0" fontId="8" fillId="0" borderId="41" xfId="0" applyFont="1" applyBorder="1" applyAlignment="1">
      <alignment horizontal="justify" vertical="center" wrapText="1"/>
    </xf>
    <xf numFmtId="1" fontId="3" fillId="2" borderId="42" xfId="0" applyNumberFormat="1" applyFont="1" applyFill="1" applyBorder="1" applyAlignment="1">
      <alignment horizontal="center" vertical="center" wrapText="1"/>
    </xf>
    <xf numFmtId="0" fontId="12" fillId="8" borderId="10" xfId="0" applyFont="1" applyFill="1" applyBorder="1" applyAlignment="1">
      <alignment horizontal="justify" vertical="center" wrapText="1"/>
    </xf>
    <xf numFmtId="0" fontId="13" fillId="8" borderId="6" xfId="0" applyFont="1" applyFill="1" applyBorder="1" applyAlignment="1">
      <alignment horizontal="justify" vertical="center" wrapText="1"/>
    </xf>
    <xf numFmtId="0" fontId="8" fillId="0" borderId="38" xfId="0" applyFont="1" applyBorder="1" applyAlignment="1">
      <alignment horizontal="justify" vertical="center" wrapText="1"/>
    </xf>
    <xf numFmtId="0" fontId="8" fillId="0" borderId="24" xfId="0" applyFont="1" applyBorder="1" applyAlignment="1">
      <alignment horizontal="justify" vertical="center" wrapText="1"/>
    </xf>
    <xf numFmtId="1" fontId="3" fillId="2" borderId="29" xfId="0" applyNumberFormat="1" applyFont="1" applyFill="1" applyBorder="1" applyAlignment="1">
      <alignment horizontal="center" vertical="center" wrapText="1"/>
    </xf>
    <xf numFmtId="1" fontId="3" fillId="0" borderId="3" xfId="0" applyNumberFormat="1" applyFont="1" applyFill="1" applyBorder="1"/>
    <xf numFmtId="0" fontId="3" fillId="0" borderId="3" xfId="0" applyFont="1" applyFill="1" applyBorder="1"/>
    <xf numFmtId="0" fontId="3" fillId="0" borderId="4" xfId="0" applyFont="1" applyFill="1" applyBorder="1"/>
    <xf numFmtId="0" fontId="3" fillId="0" borderId="15" xfId="0" applyFont="1" applyFill="1" applyBorder="1"/>
    <xf numFmtId="0" fontId="3" fillId="0" borderId="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justify" vertical="center"/>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xf>
    <xf numFmtId="165" fontId="3" fillId="0" borderId="15" xfId="0" applyNumberFormat="1" applyFont="1" applyFill="1" applyBorder="1" applyAlignment="1">
      <alignment horizontal="center" vertical="center"/>
    </xf>
    <xf numFmtId="0" fontId="9" fillId="0" borderId="15" xfId="0" applyFont="1" applyFill="1" applyBorder="1" applyAlignment="1">
      <alignment horizontal="left" vertical="center" wrapText="1"/>
    </xf>
    <xf numFmtId="1" fontId="3" fillId="0" borderId="15" xfId="0" applyNumberFormat="1" applyFont="1" applyFill="1" applyBorder="1" applyAlignment="1">
      <alignment horizontal="center" vertical="center"/>
    </xf>
    <xf numFmtId="167" fontId="3" fillId="0" borderId="15" xfId="0" applyNumberFormat="1" applyFont="1" applyFill="1" applyBorder="1" applyAlignment="1">
      <alignment horizontal="center" vertical="center"/>
    </xf>
    <xf numFmtId="167" fontId="3" fillId="0" borderId="15" xfId="0" applyNumberFormat="1" applyFont="1" applyFill="1" applyBorder="1" applyAlignment="1">
      <alignment horizontal="center"/>
    </xf>
    <xf numFmtId="1" fontId="3"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3" fillId="0" borderId="0" xfId="0" applyFont="1" applyFill="1" applyBorder="1" applyAlignment="1">
      <alignment horizontal="justify" vertical="center" wrapText="1"/>
    </xf>
    <xf numFmtId="0" fontId="3" fillId="0" borderId="0" xfId="0" applyFont="1" applyFill="1" applyBorder="1" applyAlignment="1">
      <alignment horizontal="center"/>
    </xf>
    <xf numFmtId="165" fontId="3" fillId="0" borderId="0" xfId="0" applyNumberFormat="1" applyFont="1" applyFill="1" applyBorder="1" applyAlignment="1">
      <alignment horizontal="center" vertical="center"/>
    </xf>
    <xf numFmtId="43"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44" fontId="6" fillId="0" borderId="0" xfId="2" applyFont="1" applyFill="1" applyBorder="1" applyAlignment="1">
      <alignment vertical="center"/>
    </xf>
    <xf numFmtId="1"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xf>
    <xf numFmtId="0" fontId="2" fillId="0" borderId="0" xfId="0" applyFont="1"/>
    <xf numFmtId="0" fontId="3" fillId="2" borderId="0" xfId="0" applyFont="1" applyFill="1" applyAlignment="1">
      <alignment horizontal="justify" vertical="center"/>
    </xf>
    <xf numFmtId="0" fontId="3" fillId="2" borderId="0" xfId="0" applyFont="1" applyFill="1" applyAlignment="1">
      <alignment horizontal="justify" vertical="center" wrapText="1"/>
    </xf>
    <xf numFmtId="0" fontId="3" fillId="2" borderId="0" xfId="0" applyFont="1" applyFill="1" applyAlignment="1">
      <alignment horizontal="center"/>
    </xf>
    <xf numFmtId="165" fontId="3" fillId="2" borderId="0" xfId="0" applyNumberFormat="1" applyFont="1" applyFill="1" applyAlignment="1">
      <alignment horizontal="center" vertical="center"/>
    </xf>
    <xf numFmtId="166" fontId="3" fillId="2" borderId="0" xfId="0" applyNumberFormat="1" applyFont="1" applyFill="1" applyAlignment="1">
      <alignment vertical="center"/>
    </xf>
    <xf numFmtId="0" fontId="9" fillId="2" borderId="0" xfId="0" applyFont="1" applyFill="1" applyAlignment="1">
      <alignment horizontal="left" vertical="center" wrapText="1"/>
    </xf>
    <xf numFmtId="164" fontId="3" fillId="2" borderId="0" xfId="0" applyNumberFormat="1" applyFont="1" applyFill="1" applyAlignment="1">
      <alignment horizontal="center" vertical="center"/>
    </xf>
    <xf numFmtId="1"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xf>
    <xf numFmtId="167" fontId="3" fillId="0" borderId="0" xfId="0" applyNumberFormat="1" applyFont="1" applyAlignment="1">
      <alignment horizontal="center" vertical="center"/>
    </xf>
    <xf numFmtId="167" fontId="3" fillId="0" borderId="0" xfId="0" applyNumberFormat="1" applyFont="1" applyAlignment="1">
      <alignment horizontal="center"/>
    </xf>
    <xf numFmtId="0" fontId="3" fillId="0" borderId="0" xfId="0" applyFont="1" applyAlignment="1">
      <alignment horizontal="justify" vertical="center"/>
    </xf>
    <xf numFmtId="2" fontId="3" fillId="2" borderId="0" xfId="0" applyNumberFormat="1" applyFont="1" applyFill="1" applyAlignment="1">
      <alignment horizontal="center" vertical="center"/>
    </xf>
    <xf numFmtId="168" fontId="3" fillId="2" borderId="9"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3" fillId="2" borderId="2" xfId="0" applyFont="1" applyFill="1" applyBorder="1" applyAlignment="1">
      <alignment horizontal="justify" vertical="center" wrapText="1"/>
    </xf>
    <xf numFmtId="0" fontId="15" fillId="0" borderId="2" xfId="0" applyFont="1" applyBorder="1" applyAlignment="1">
      <alignment vertical="center"/>
    </xf>
    <xf numFmtId="0" fontId="15" fillId="0" borderId="2" xfId="0" applyFont="1" applyBorder="1" applyAlignment="1">
      <alignment horizontal="right" vertical="center"/>
    </xf>
    <xf numFmtId="0" fontId="16" fillId="2" borderId="0" xfId="0" applyFont="1" applyFill="1"/>
    <xf numFmtId="0" fontId="15" fillId="0" borderId="2" xfId="0" applyFont="1" applyBorder="1" applyAlignment="1">
      <alignment horizontal="left" vertical="center"/>
    </xf>
    <xf numFmtId="0" fontId="15" fillId="0" borderId="2" xfId="0" applyFont="1" applyBorder="1" applyAlignment="1">
      <alignment horizontal="right" vertical="center" wrapText="1"/>
    </xf>
    <xf numFmtId="3" fontId="17" fillId="0" borderId="2" xfId="0" applyNumberFormat="1" applyFont="1" applyBorder="1" applyAlignment="1">
      <alignment horizontal="right" vertical="center" wrapText="1"/>
    </xf>
    <xf numFmtId="0" fontId="2" fillId="0" borderId="6" xfId="0" applyFont="1" applyBorder="1" applyAlignment="1">
      <alignment vertical="center"/>
    </xf>
    <xf numFmtId="166" fontId="2" fillId="3" borderId="10" xfId="0" applyNumberFormat="1" applyFont="1" applyFill="1" applyBorder="1" applyAlignment="1">
      <alignment horizontal="center" vertical="center" wrapText="1"/>
    </xf>
    <xf numFmtId="166" fontId="2" fillId="3" borderId="2" xfId="0" applyNumberFormat="1" applyFont="1" applyFill="1" applyBorder="1" applyAlignment="1">
      <alignment horizontal="center" vertical="center" wrapText="1"/>
    </xf>
    <xf numFmtId="0" fontId="6" fillId="3" borderId="10" xfId="0" applyFont="1" applyFill="1" applyBorder="1" applyAlignment="1">
      <alignment horizontal="center" vertical="center" textRotation="90" wrapText="1"/>
    </xf>
    <xf numFmtId="49" fontId="6" fillId="3" borderId="10" xfId="0" applyNumberFormat="1" applyFont="1" applyFill="1" applyBorder="1" applyAlignment="1">
      <alignment horizontal="center" vertical="center" textRotation="90" wrapText="1"/>
    </xf>
    <xf numFmtId="0" fontId="6" fillId="3" borderId="8" xfId="0" applyFont="1" applyFill="1" applyBorder="1" applyAlignment="1">
      <alignment horizontal="center" vertical="center" textRotation="90" wrapText="1"/>
    </xf>
    <xf numFmtId="0" fontId="6" fillId="5" borderId="9" xfId="0" applyFont="1" applyFill="1" applyBorder="1" applyAlignment="1">
      <alignment horizontal="left" vertical="center" wrapText="1"/>
    </xf>
    <xf numFmtId="0" fontId="6" fillId="5" borderId="5" xfId="0" applyFont="1" applyFill="1" applyBorder="1" applyAlignment="1">
      <alignment horizontal="left" vertical="center"/>
    </xf>
    <xf numFmtId="0" fontId="6" fillId="5" borderId="5" xfId="0" applyFont="1" applyFill="1" applyBorder="1" applyAlignment="1">
      <alignment vertical="center"/>
    </xf>
    <xf numFmtId="0" fontId="6" fillId="5" borderId="11" xfId="0" applyFont="1" applyFill="1" applyBorder="1" applyAlignment="1">
      <alignment horizontal="justify" vertical="center" wrapText="1"/>
    </xf>
    <xf numFmtId="0" fontId="6" fillId="5" borderId="11" xfId="0" applyFont="1" applyFill="1" applyBorder="1" applyAlignment="1">
      <alignment vertical="center"/>
    </xf>
    <xf numFmtId="0" fontId="2" fillId="5" borderId="11" xfId="0" applyFont="1" applyFill="1" applyBorder="1" applyAlignment="1">
      <alignment vertical="center"/>
    </xf>
    <xf numFmtId="0" fontId="2" fillId="5" borderId="11" xfId="0" applyFont="1" applyFill="1" applyBorder="1" applyAlignment="1">
      <alignment horizontal="center" vertical="center"/>
    </xf>
    <xf numFmtId="0" fontId="2" fillId="5" borderId="11" xfId="0" applyFont="1" applyFill="1" applyBorder="1" applyAlignment="1">
      <alignment horizontal="justify" vertical="center"/>
    </xf>
    <xf numFmtId="165" fontId="2" fillId="5" borderId="11" xfId="0" applyNumberFormat="1" applyFont="1" applyFill="1" applyBorder="1" applyAlignment="1">
      <alignment horizontal="center" vertical="center"/>
    </xf>
    <xf numFmtId="166" fontId="2" fillId="5" borderId="11" xfId="0" applyNumberFormat="1" applyFont="1" applyFill="1" applyBorder="1" applyAlignment="1">
      <alignment vertical="center"/>
    </xf>
    <xf numFmtId="166" fontId="2" fillId="5" borderId="11" xfId="0" applyNumberFormat="1" applyFont="1" applyFill="1" applyBorder="1" applyAlignment="1">
      <alignment horizontal="center" vertical="center"/>
    </xf>
    <xf numFmtId="1" fontId="2" fillId="5" borderId="11" xfId="0" applyNumberFormat="1" applyFont="1" applyFill="1" applyBorder="1" applyAlignment="1">
      <alignment horizontal="center" vertical="center"/>
    </xf>
    <xf numFmtId="167" fontId="2" fillId="5" borderId="11" xfId="0" applyNumberFormat="1" applyFont="1" applyFill="1" applyBorder="1" applyAlignment="1">
      <alignment vertical="center"/>
    </xf>
    <xf numFmtId="1" fontId="2" fillId="2" borderId="8"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6" borderId="7" xfId="0" applyFont="1" applyFill="1" applyBorder="1" applyAlignment="1">
      <alignment horizontal="left" vertical="center"/>
    </xf>
    <xf numFmtId="0" fontId="6" fillId="6" borderId="5" xfId="0" applyFont="1" applyFill="1" applyBorder="1" applyAlignment="1">
      <alignment horizontal="left" vertical="center"/>
    </xf>
    <xf numFmtId="0" fontId="6" fillId="6" borderId="5" xfId="0" applyFont="1" applyFill="1" applyBorder="1" applyAlignment="1">
      <alignment horizontal="justify" vertical="center" wrapText="1"/>
    </xf>
    <xf numFmtId="0" fontId="7" fillId="6" borderId="11" xfId="0" applyFont="1" applyFill="1" applyBorder="1" applyAlignment="1">
      <alignment horizontal="center" vertical="center"/>
    </xf>
    <xf numFmtId="0" fontId="6" fillId="6" borderId="11" xfId="0" applyFont="1" applyFill="1" applyBorder="1" applyAlignment="1">
      <alignment horizontal="justify" vertical="center" wrapText="1"/>
    </xf>
    <xf numFmtId="0" fontId="6" fillId="6" borderId="11" xfId="0" applyFont="1" applyFill="1" applyBorder="1" applyAlignment="1">
      <alignment horizontal="center" vertical="center"/>
    </xf>
    <xf numFmtId="0" fontId="2" fillId="6" borderId="0" xfId="0" applyFont="1" applyFill="1" applyAlignment="1">
      <alignment vertical="center"/>
    </xf>
    <xf numFmtId="0" fontId="2" fillId="6" borderId="0" xfId="0" applyFont="1" applyFill="1" applyAlignment="1">
      <alignment horizontal="center" vertical="center"/>
    </xf>
    <xf numFmtId="0" fontId="2" fillId="6" borderId="11" xfId="0" applyFont="1" applyFill="1" applyBorder="1" applyAlignment="1">
      <alignment horizontal="justify" vertical="center"/>
    </xf>
    <xf numFmtId="165" fontId="2" fillId="6" borderId="5" xfId="0" applyNumberFormat="1" applyFont="1" applyFill="1" applyBorder="1" applyAlignment="1">
      <alignment horizontal="center" vertical="center"/>
    </xf>
    <xf numFmtId="166" fontId="2" fillId="6" borderId="0" xfId="0" applyNumberFormat="1" applyFont="1" applyFill="1" applyAlignment="1">
      <alignment vertical="center"/>
    </xf>
    <xf numFmtId="0" fontId="2" fillId="6" borderId="0" xfId="0" applyFont="1" applyFill="1" applyAlignment="1">
      <alignment horizontal="justify" vertical="center"/>
    </xf>
    <xf numFmtId="166" fontId="2" fillId="6" borderId="0" xfId="0" applyNumberFormat="1" applyFont="1" applyFill="1" applyAlignment="1">
      <alignment horizontal="center" vertical="center"/>
    </xf>
    <xf numFmtId="1" fontId="2" fillId="6" borderId="0" xfId="0" applyNumberFormat="1" applyFont="1" applyFill="1" applyAlignment="1">
      <alignment horizontal="center" vertical="center"/>
    </xf>
    <xf numFmtId="0" fontId="6" fillId="6" borderId="0" xfId="0" applyFont="1" applyFill="1" applyAlignment="1">
      <alignment vertical="center"/>
    </xf>
    <xf numFmtId="167" fontId="2" fillId="6" borderId="0" xfId="0" applyNumberFormat="1" applyFont="1" applyFill="1" applyAlignment="1">
      <alignment vertical="center"/>
    </xf>
    <xf numFmtId="1" fontId="3" fillId="0" borderId="13"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7" fillId="0" borderId="2" xfId="0" applyFont="1" applyFill="1" applyBorder="1" applyAlignment="1">
      <alignment horizontal="justify" vertical="center" wrapText="1"/>
    </xf>
    <xf numFmtId="170" fontId="7" fillId="0" borderId="2" xfId="6" applyFont="1" applyFill="1" applyBorder="1" applyAlignment="1">
      <alignment vertical="center"/>
    </xf>
    <xf numFmtId="1" fontId="3" fillId="0" borderId="30" xfId="0" applyNumberFormat="1" applyFont="1" applyFill="1" applyBorder="1" applyAlignment="1">
      <alignment horizontal="center" vertical="center" wrapText="1"/>
    </xf>
    <xf numFmtId="0" fontId="3" fillId="0" borderId="29" xfId="0" applyFont="1" applyFill="1" applyBorder="1" applyAlignment="1">
      <alignment horizontal="justify" vertical="center" wrapText="1"/>
    </xf>
    <xf numFmtId="1" fontId="3" fillId="2" borderId="2" xfId="0" applyNumberFormat="1" applyFont="1" applyFill="1" applyBorder="1" applyAlignment="1">
      <alignment horizontal="justify" vertical="center" wrapText="1"/>
    </xf>
    <xf numFmtId="168" fontId="3" fillId="0" borderId="0" xfId="0" applyNumberFormat="1" applyFont="1" applyFill="1" applyAlignment="1">
      <alignment vertical="center" wrapText="1"/>
    </xf>
    <xf numFmtId="0" fontId="3" fillId="9" borderId="0" xfId="0" applyFont="1" applyFill="1"/>
    <xf numFmtId="0" fontId="3" fillId="2" borderId="13" xfId="0" applyFont="1" applyFill="1" applyBorder="1" applyAlignment="1">
      <alignment vertical="center" wrapText="1"/>
    </xf>
    <xf numFmtId="0" fontId="3" fillId="2" borderId="1" xfId="0" applyFont="1" applyFill="1" applyBorder="1" applyAlignment="1">
      <alignment vertical="center" wrapText="1"/>
    </xf>
    <xf numFmtId="170" fontId="7" fillId="0" borderId="15" xfId="6" applyFont="1" applyFill="1" applyBorder="1" applyAlignment="1">
      <alignment vertical="center"/>
    </xf>
    <xf numFmtId="168" fontId="3" fillId="2" borderId="0" xfId="0" applyNumberFormat="1" applyFont="1" applyFill="1" applyAlignment="1">
      <alignment vertical="center" wrapText="1"/>
    </xf>
    <xf numFmtId="1" fontId="3" fillId="2" borderId="13" xfId="0" applyNumberFormat="1" applyFont="1" applyFill="1" applyBorder="1" applyAlignment="1">
      <alignment horizontal="center" vertical="top" wrapText="1"/>
    </xf>
    <xf numFmtId="0" fontId="3" fillId="2" borderId="0" xfId="0" applyFont="1" applyFill="1" applyAlignment="1">
      <alignment horizontal="center" vertical="top" wrapText="1"/>
    </xf>
    <xf numFmtId="0" fontId="3" fillId="2" borderId="1" xfId="0" applyFont="1" applyFill="1" applyBorder="1" applyAlignment="1">
      <alignment horizontal="center" vertical="top" wrapText="1"/>
    </xf>
    <xf numFmtId="0" fontId="3" fillId="2" borderId="0" xfId="0" applyFont="1" applyFill="1" applyAlignment="1">
      <alignment vertical="top"/>
    </xf>
    <xf numFmtId="0" fontId="3" fillId="2" borderId="13" xfId="0" applyFont="1" applyFill="1" applyBorder="1" applyAlignment="1">
      <alignment vertical="top" wrapText="1"/>
    </xf>
    <xf numFmtId="0" fontId="3" fillId="2" borderId="1" xfId="0" applyFont="1" applyFill="1" applyBorder="1" applyAlignment="1">
      <alignment vertical="top" wrapText="1"/>
    </xf>
    <xf numFmtId="168" fontId="3" fillId="2" borderId="0" xfId="0" applyNumberFormat="1" applyFont="1" applyFill="1" applyAlignment="1">
      <alignment vertical="top" wrapText="1"/>
    </xf>
    <xf numFmtId="1" fontId="3" fillId="0" borderId="13" xfId="0" applyNumberFormat="1" applyFont="1" applyBorder="1"/>
    <xf numFmtId="0" fontId="3" fillId="0" borderId="3" xfId="0" applyFont="1" applyBorder="1"/>
    <xf numFmtId="0" fontId="3" fillId="0" borderId="6" xfId="0" applyFont="1" applyBorder="1"/>
    <xf numFmtId="0" fontId="3" fillId="0" borderId="4" xfId="0" applyFont="1" applyBorder="1"/>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Border="1" applyAlignment="1">
      <alignment horizontal="justify" vertical="center" wrapText="1"/>
    </xf>
    <xf numFmtId="0" fontId="3" fillId="2" borderId="24" xfId="0" applyFont="1" applyFill="1" applyBorder="1" applyAlignment="1">
      <alignment horizontal="justify" vertical="center" wrapText="1"/>
    </xf>
    <xf numFmtId="0" fontId="3" fillId="2" borderId="44" xfId="0" applyFont="1" applyFill="1" applyBorder="1" applyAlignment="1">
      <alignment horizontal="center" vertical="center" wrapText="1"/>
    </xf>
    <xf numFmtId="9" fontId="3" fillId="2" borderId="17" xfId="3" applyFont="1" applyFill="1" applyBorder="1" applyAlignment="1">
      <alignment horizontal="center" vertical="center"/>
    </xf>
    <xf numFmtId="3" fontId="3" fillId="0" borderId="10" xfId="0" applyNumberFormat="1" applyFont="1" applyBorder="1" applyAlignment="1">
      <alignment horizontal="justify" vertical="center" wrapText="1"/>
    </xf>
    <xf numFmtId="0" fontId="18" fillId="0" borderId="9"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6" fillId="6" borderId="12" xfId="0" applyFont="1" applyFill="1" applyBorder="1" applyAlignment="1">
      <alignment horizontal="left" vertical="center"/>
    </xf>
    <xf numFmtId="0" fontId="6" fillId="6" borderId="3" xfId="0" applyFont="1" applyFill="1" applyBorder="1" applyAlignment="1">
      <alignment horizontal="justify" vertical="center" wrapText="1"/>
    </xf>
    <xf numFmtId="0" fontId="2" fillId="6" borderId="11" xfId="0" applyFont="1" applyFill="1" applyBorder="1" applyAlignment="1">
      <alignment horizontal="justify" vertical="center" wrapText="1"/>
    </xf>
    <xf numFmtId="0" fontId="2" fillId="6" borderId="11" xfId="0" applyFont="1" applyFill="1" applyBorder="1" applyAlignment="1">
      <alignment horizontal="center" vertical="center"/>
    </xf>
    <xf numFmtId="165" fontId="2" fillId="6" borderId="3" xfId="0" applyNumberFormat="1" applyFont="1" applyFill="1" applyBorder="1" applyAlignment="1">
      <alignment horizontal="center" vertical="center"/>
    </xf>
    <xf numFmtId="170" fontId="2" fillId="6" borderId="11" xfId="6" applyFont="1" applyFill="1" applyBorder="1" applyAlignment="1">
      <alignment vertical="center"/>
    </xf>
    <xf numFmtId="170" fontId="2" fillId="6" borderId="3" xfId="6" applyFont="1" applyFill="1" applyBorder="1" applyAlignment="1">
      <alignment horizontal="center" vertical="center"/>
    </xf>
    <xf numFmtId="1" fontId="2" fillId="6" borderId="3" xfId="0" applyNumberFormat="1" applyFont="1" applyFill="1" applyBorder="1" applyAlignment="1">
      <alignment horizontal="center" vertical="center" wrapText="1"/>
    </xf>
    <xf numFmtId="0" fontId="2" fillId="6" borderId="3" xfId="0" applyFont="1" applyFill="1" applyBorder="1" applyAlignment="1">
      <alignment horizontal="justify" vertical="center" wrapText="1"/>
    </xf>
    <xf numFmtId="0" fontId="6" fillId="6" borderId="3" xfId="0" applyFont="1" applyFill="1" applyBorder="1" applyAlignment="1">
      <alignment horizontal="center" vertical="center"/>
    </xf>
    <xf numFmtId="167" fontId="2" fillId="6" borderId="11" xfId="0" applyNumberFormat="1" applyFont="1" applyFill="1" applyBorder="1" applyAlignment="1">
      <alignment horizontal="center" vertical="center"/>
    </xf>
    <xf numFmtId="0" fontId="2" fillId="6" borderId="12" xfId="0" applyFont="1" applyFill="1" applyBorder="1" applyAlignment="1">
      <alignment horizontal="justify" vertical="center" wrapText="1"/>
    </xf>
    <xf numFmtId="1" fontId="3" fillId="2" borderId="6"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1" xfId="0" applyFont="1" applyBorder="1"/>
    <xf numFmtId="0" fontId="3" fillId="0" borderId="11" xfId="0" applyFont="1" applyBorder="1" applyAlignment="1">
      <alignment vertical="center" wrapText="1"/>
    </xf>
    <xf numFmtId="0" fontId="3" fillId="0" borderId="12" xfId="0" applyFont="1" applyBorder="1" applyAlignment="1">
      <alignment vertical="center" wrapText="1"/>
    </xf>
    <xf numFmtId="0" fontId="7" fillId="0" borderId="2" xfId="0" applyFont="1" applyFill="1" applyBorder="1" applyAlignment="1">
      <alignment horizontal="center" vertical="center" wrapText="1"/>
    </xf>
    <xf numFmtId="0" fontId="3" fillId="0" borderId="2" xfId="0" applyFont="1" applyBorder="1" applyAlignment="1">
      <alignment horizontal="justify" vertical="center" wrapText="1"/>
    </xf>
    <xf numFmtId="0" fontId="7" fillId="0" borderId="2" xfId="0" applyFont="1" applyBorder="1" applyAlignment="1">
      <alignment horizontal="center" vertical="center"/>
    </xf>
    <xf numFmtId="9" fontId="3" fillId="0" borderId="2" xfId="3"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1" fontId="3" fillId="0" borderId="2" xfId="0" applyNumberFormat="1" applyFont="1" applyBorder="1" applyAlignment="1">
      <alignment horizontal="justify" vertical="center" wrapText="1"/>
    </xf>
    <xf numFmtId="0" fontId="6" fillId="5" borderId="14" xfId="0" applyFont="1" applyFill="1" applyBorder="1" applyAlignment="1">
      <alignment horizontal="left" vertical="center" wrapText="1"/>
    </xf>
    <xf numFmtId="0" fontId="6" fillId="5" borderId="0" xfId="0" applyFont="1" applyFill="1" applyAlignment="1">
      <alignment horizontal="left" vertical="center"/>
    </xf>
    <xf numFmtId="0" fontId="6" fillId="5" borderId="0" xfId="0" applyFont="1" applyFill="1" applyAlignment="1">
      <alignment horizontal="center" vertical="center"/>
    </xf>
    <xf numFmtId="0" fontId="2" fillId="5" borderId="11" xfId="0" applyFont="1" applyFill="1" applyBorder="1" applyAlignment="1">
      <alignment horizontal="justify" vertical="center" wrapText="1"/>
    </xf>
    <xf numFmtId="170" fontId="2" fillId="5" borderId="11" xfId="6" applyFont="1" applyFill="1" applyBorder="1" applyAlignment="1">
      <alignment vertical="center"/>
    </xf>
    <xf numFmtId="170" fontId="2" fillId="5" borderId="11" xfId="6" applyFont="1" applyFill="1" applyBorder="1" applyAlignment="1">
      <alignment horizontal="center" vertical="center"/>
    </xf>
    <xf numFmtId="1" fontId="2"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xf>
    <xf numFmtId="167" fontId="2" fillId="5" borderId="11" xfId="0" applyNumberFormat="1" applyFont="1" applyFill="1" applyBorder="1" applyAlignment="1">
      <alignment horizontal="center" vertical="center"/>
    </xf>
    <xf numFmtId="0" fontId="2" fillId="5" borderId="12" xfId="0" applyFont="1" applyFill="1" applyBorder="1" applyAlignment="1">
      <alignment horizontal="justify" vertical="center" wrapText="1"/>
    </xf>
    <xf numFmtId="0" fontId="6" fillId="6" borderId="11" xfId="0" applyFont="1" applyFill="1" applyBorder="1" applyAlignment="1">
      <alignment horizontal="left" vertical="center"/>
    </xf>
    <xf numFmtId="165" fontId="2" fillId="6" borderId="11" xfId="0" applyNumberFormat="1" applyFont="1" applyFill="1" applyBorder="1" applyAlignment="1">
      <alignment horizontal="center" vertical="center"/>
    </xf>
    <xf numFmtId="170" fontId="2" fillId="6" borderId="11" xfId="6" applyFont="1" applyFill="1" applyBorder="1" applyAlignment="1">
      <alignment horizontal="center" vertical="center"/>
    </xf>
    <xf numFmtId="1" fontId="2" fillId="6" borderId="11" xfId="0" applyNumberFormat="1" applyFont="1" applyFill="1" applyBorder="1" applyAlignment="1">
      <alignment horizontal="center" vertical="center" wrapText="1"/>
    </xf>
    <xf numFmtId="0" fontId="3" fillId="0" borderId="2" xfId="0" applyFont="1" applyBorder="1"/>
    <xf numFmtId="3" fontId="19" fillId="0" borderId="2" xfId="0" applyNumberFormat="1" applyFont="1" applyBorder="1" applyAlignment="1">
      <alignment horizontal="justify" vertical="center" wrapText="1"/>
    </xf>
    <xf numFmtId="0" fontId="3" fillId="0" borderId="2" xfId="0" applyFont="1" applyFill="1" applyBorder="1" applyAlignment="1">
      <alignment horizontal="center" vertical="center" wrapText="1"/>
    </xf>
    <xf numFmtId="0" fontId="3" fillId="0" borderId="0" xfId="0" applyFont="1" applyAlignment="1">
      <alignment horizontal="justify" vertical="center" wrapText="1"/>
    </xf>
    <xf numFmtId="0" fontId="2" fillId="6" borderId="5" xfId="0" applyFont="1" applyFill="1" applyBorder="1" applyAlignment="1">
      <alignment horizontal="justify" vertical="center" wrapText="1"/>
    </xf>
    <xf numFmtId="170" fontId="2" fillId="6" borderId="5" xfId="6" applyFont="1" applyFill="1" applyBorder="1" applyAlignment="1">
      <alignment horizontal="center" vertical="center"/>
    </xf>
    <xf numFmtId="1" fontId="2" fillId="6" borderId="5"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xf>
    <xf numFmtId="0" fontId="2" fillId="0" borderId="0" xfId="0" applyFont="1" applyFill="1"/>
    <xf numFmtId="0" fontId="3" fillId="0" borderId="1" xfId="0" applyFont="1" applyFill="1" applyBorder="1" applyAlignment="1">
      <alignment horizontal="justify" vertical="center"/>
    </xf>
    <xf numFmtId="0" fontId="3" fillId="0" borderId="8" xfId="0" applyFont="1" applyFill="1" applyBorder="1"/>
    <xf numFmtId="0" fontId="3" fillId="0" borderId="7" xfId="0" applyFont="1" applyFill="1" applyBorder="1"/>
    <xf numFmtId="168" fontId="3" fillId="2" borderId="2"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xf>
    <xf numFmtId="0" fontId="3" fillId="2" borderId="1" xfId="0" applyFont="1" applyFill="1" applyBorder="1" applyAlignment="1">
      <alignment horizontal="justify" vertical="center"/>
    </xf>
    <xf numFmtId="0" fontId="3" fillId="0" borderId="13" xfId="0" applyFont="1" applyFill="1" applyBorder="1"/>
    <xf numFmtId="0" fontId="3" fillId="0" borderId="1" xfId="0" applyFont="1" applyFill="1" applyBorder="1"/>
    <xf numFmtId="0" fontId="7" fillId="0" borderId="8" xfId="0" applyFont="1" applyFill="1" applyBorder="1" applyAlignment="1">
      <alignment horizontal="justify" vertical="center" wrapText="1"/>
    </xf>
    <xf numFmtId="1" fontId="3" fillId="0" borderId="2" xfId="0" applyNumberFormat="1" applyFont="1" applyFill="1" applyBorder="1" applyAlignment="1">
      <alignment horizontal="center" vertical="center" wrapText="1"/>
    </xf>
    <xf numFmtId="0" fontId="3" fillId="0" borderId="6" xfId="0" applyFont="1" applyFill="1" applyBorder="1"/>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9" fontId="3" fillId="0" borderId="17" xfId="3" applyFont="1" applyFill="1" applyBorder="1" applyAlignment="1">
      <alignment horizontal="center" vertical="center"/>
    </xf>
    <xf numFmtId="0" fontId="7" fillId="0" borderId="10" xfId="0" applyFont="1" applyFill="1" applyBorder="1" applyAlignment="1">
      <alignment horizontal="justify" vertical="center" wrapText="1"/>
    </xf>
    <xf numFmtId="1" fontId="3" fillId="0" borderId="6" xfId="0" applyNumberFormat="1" applyFont="1" applyBorder="1"/>
    <xf numFmtId="1" fontId="3" fillId="0" borderId="3" xfId="0" applyNumberFormat="1" applyFont="1" applyBorder="1"/>
    <xf numFmtId="1" fontId="3" fillId="0" borderId="4" xfId="0" applyNumberFormat="1" applyFont="1" applyBorder="1"/>
    <xf numFmtId="1" fontId="3" fillId="0" borderId="11" xfId="0" applyNumberFormat="1" applyFont="1" applyBorder="1"/>
    <xf numFmtId="1" fontId="3" fillId="0" borderId="12" xfId="0" applyNumberFormat="1" applyFont="1" applyBorder="1"/>
    <xf numFmtId="0" fontId="3" fillId="2" borderId="15"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justify" vertical="center"/>
    </xf>
    <xf numFmtId="165" fontId="3" fillId="2" borderId="15" xfId="0" applyNumberFormat="1" applyFont="1" applyFill="1" applyBorder="1" applyAlignment="1">
      <alignment horizontal="center" vertical="center"/>
    </xf>
    <xf numFmtId="171" fontId="6" fillId="0" borderId="2" xfId="0" applyNumberFormat="1" applyFont="1" applyBorder="1" applyAlignment="1">
      <alignment vertical="center"/>
    </xf>
    <xf numFmtId="0" fontId="3" fillId="0" borderId="2" xfId="0" applyFont="1" applyBorder="1" applyAlignment="1">
      <alignment horizontal="justify" vertical="center"/>
    </xf>
    <xf numFmtId="171" fontId="6" fillId="0" borderId="15" xfId="0" applyNumberFormat="1" applyFont="1" applyBorder="1" applyAlignment="1">
      <alignment vertical="center"/>
    </xf>
    <xf numFmtId="0" fontId="3" fillId="2" borderId="2" xfId="0" applyFont="1" applyFill="1" applyBorder="1" applyAlignment="1">
      <alignment horizontal="center" vertical="center"/>
    </xf>
    <xf numFmtId="0" fontId="7" fillId="0" borderId="2" xfId="0" applyFont="1" applyBorder="1"/>
    <xf numFmtId="167" fontId="3" fillId="0" borderId="2" xfId="0" applyNumberFormat="1" applyFont="1" applyBorder="1" applyAlignment="1">
      <alignment horizontal="right" vertical="center"/>
    </xf>
    <xf numFmtId="167" fontId="3" fillId="0" borderId="2" xfId="0" applyNumberFormat="1" applyFont="1" applyBorder="1" applyAlignment="1">
      <alignment horizontal="center"/>
    </xf>
    <xf numFmtId="0" fontId="7" fillId="0" borderId="0" xfId="0" applyFont="1"/>
    <xf numFmtId="166" fontId="3" fillId="2" borderId="3" xfId="0" applyNumberFormat="1" applyFont="1" applyFill="1" applyBorder="1" applyAlignment="1">
      <alignment vertical="center"/>
    </xf>
    <xf numFmtId="0" fontId="3" fillId="2" borderId="3" xfId="0" applyFont="1" applyFill="1" applyBorder="1" applyAlignment="1">
      <alignment horizontal="justify" vertical="center"/>
    </xf>
    <xf numFmtId="0" fontId="7" fillId="0" borderId="0" xfId="0" applyFont="1" applyAlignment="1">
      <alignment horizontal="justify" vertical="center" wrapText="1"/>
    </xf>
    <xf numFmtId="0" fontId="0" fillId="0" borderId="0" xfId="0" applyAlignment="1">
      <alignment horizontal="justify" vertical="center" wrapText="1"/>
    </xf>
    <xf numFmtId="171" fontId="0" fillId="0" borderId="0" xfId="0" applyNumberFormat="1"/>
    <xf numFmtId="0" fontId="0" fillId="0" borderId="0" xfId="0" applyAlignment="1">
      <alignment horizontal="center"/>
    </xf>
    <xf numFmtId="0" fontId="20" fillId="0" borderId="0" xfId="0" applyFont="1"/>
    <xf numFmtId="1" fontId="3" fillId="2" borderId="17" xfId="0" applyNumberFormat="1"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9" xfId="0" applyFont="1" applyFill="1" applyBorder="1" applyAlignment="1">
      <alignment horizontal="justify" vertical="center" wrapText="1"/>
    </xf>
    <xf numFmtId="1" fontId="3" fillId="2" borderId="9" xfId="0" applyNumberFormat="1" applyFont="1" applyFill="1" applyBorder="1" applyAlignment="1">
      <alignment horizontal="center" vertical="center"/>
    </xf>
    <xf numFmtId="0" fontId="7" fillId="2" borderId="24"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3" fillId="2" borderId="17" xfId="0" applyFont="1" applyFill="1" applyBorder="1" applyAlignment="1">
      <alignment horizontal="center" vertical="center" wrapText="1"/>
    </xf>
    <xf numFmtId="9" fontId="3" fillId="2" borderId="17" xfId="3"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21" fillId="0" borderId="47" xfId="0" applyFont="1" applyBorder="1" applyAlignment="1">
      <alignment horizontal="center" vertical="center"/>
    </xf>
    <xf numFmtId="0" fontId="21" fillId="0" borderId="47" xfId="0" applyFont="1" applyBorder="1" applyAlignment="1">
      <alignment horizontal="right" vertical="center"/>
    </xf>
    <xf numFmtId="0" fontId="16" fillId="0" borderId="0" xfId="0" applyFont="1"/>
    <xf numFmtId="0" fontId="21" fillId="0" borderId="2" xfId="0" applyFont="1" applyBorder="1" applyAlignment="1">
      <alignment horizontal="center" vertical="center"/>
    </xf>
    <xf numFmtId="172" fontId="21" fillId="0" borderId="2" xfId="0" applyNumberFormat="1" applyFont="1" applyBorder="1" applyAlignment="1">
      <alignment horizontal="right" vertical="center"/>
    </xf>
    <xf numFmtId="17" fontId="21" fillId="0" borderId="2" xfId="0" applyNumberFormat="1" applyFont="1" applyBorder="1" applyAlignment="1">
      <alignment horizontal="right" vertical="center"/>
    </xf>
    <xf numFmtId="3" fontId="21" fillId="10" borderId="2" xfId="0" applyNumberFormat="1" applyFont="1" applyFill="1" applyBorder="1" applyAlignment="1">
      <alignment horizontal="right" vertical="center" wrapText="1"/>
    </xf>
    <xf numFmtId="0" fontId="6" fillId="0" borderId="5" xfId="0" applyFont="1" applyBorder="1" applyAlignment="1">
      <alignment horizontal="center"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7" fillId="0" borderId="3" xfId="0" applyFont="1" applyBorder="1" applyAlignment="1">
      <alignment horizontal="justify" vertical="center" wrapText="1"/>
    </xf>
    <xf numFmtId="0" fontId="6" fillId="0" borderId="3" xfId="0" applyFont="1" applyBorder="1" applyAlignment="1">
      <alignment horizontal="justify" vertical="center"/>
    </xf>
    <xf numFmtId="173" fontId="7" fillId="0" borderId="3" xfId="7" applyFont="1" applyBorder="1" applyAlignment="1">
      <alignment horizontal="center" vertical="center"/>
    </xf>
    <xf numFmtId="174" fontId="6" fillId="0" borderId="3" xfId="7" applyNumberFormat="1" applyFont="1" applyBorder="1" applyAlignment="1">
      <alignment horizontal="center" vertical="center"/>
    </xf>
    <xf numFmtId="14" fontId="6" fillId="0" borderId="3" xfId="0" applyNumberFormat="1" applyFont="1" applyBorder="1" applyAlignment="1">
      <alignment horizontal="center" vertical="center"/>
    </xf>
    <xf numFmtId="14" fontId="6" fillId="0" borderId="4" xfId="0" applyNumberFormat="1" applyFont="1" applyBorder="1" applyAlignment="1">
      <alignment horizontal="center" vertical="center"/>
    </xf>
    <xf numFmtId="0" fontId="7" fillId="0" borderId="0" xfId="0" applyFont="1" applyAlignment="1">
      <alignment horizontal="center" vertical="center"/>
    </xf>
    <xf numFmtId="166" fontId="2" fillId="3" borderId="9" xfId="0" applyNumberFormat="1" applyFont="1" applyFill="1" applyBorder="1" applyAlignment="1">
      <alignment horizontal="center" vertical="center" wrapText="1"/>
    </xf>
    <xf numFmtId="3" fontId="6" fillId="11" borderId="10" xfId="0" applyNumberFormat="1" applyFont="1" applyFill="1" applyBorder="1" applyAlignment="1">
      <alignment horizontal="center" vertical="center" textRotation="90" wrapText="1"/>
    </xf>
    <xf numFmtId="0" fontId="6" fillId="11" borderId="10" xfId="0" applyFont="1" applyFill="1" applyBorder="1" applyAlignment="1">
      <alignment horizontal="center" vertical="center" textRotation="90" wrapText="1"/>
    </xf>
    <xf numFmtId="0" fontId="6" fillId="11" borderId="2" xfId="0" applyFont="1" applyFill="1" applyBorder="1" applyAlignment="1">
      <alignment horizontal="center" vertical="center" textRotation="90"/>
    </xf>
    <xf numFmtId="0" fontId="6" fillId="5" borderId="9" xfId="0" applyFont="1" applyFill="1" applyBorder="1" applyAlignment="1">
      <alignment horizontal="left" vertical="center"/>
    </xf>
    <xf numFmtId="0" fontId="3" fillId="5" borderId="9" xfId="0" applyFont="1" applyFill="1" applyBorder="1"/>
    <xf numFmtId="166" fontId="2" fillId="5" borderId="6" xfId="0" applyNumberFormat="1" applyFont="1" applyFill="1" applyBorder="1" applyAlignment="1">
      <alignment horizontal="center" vertical="center"/>
    </xf>
    <xf numFmtId="1" fontId="2" fillId="5" borderId="12" xfId="0" applyNumberFormat="1" applyFont="1" applyFill="1" applyBorder="1" applyAlignment="1">
      <alignment horizontal="center" vertical="center"/>
    </xf>
    <xf numFmtId="167" fontId="2" fillId="5" borderId="2" xfId="0" applyNumberFormat="1" applyFont="1" applyFill="1" applyBorder="1" applyAlignment="1">
      <alignment vertical="center"/>
    </xf>
    <xf numFmtId="0" fontId="6" fillId="6" borderId="9" xfId="0" applyFont="1" applyFill="1" applyBorder="1" applyAlignment="1">
      <alignment horizontal="left" vertical="center"/>
    </xf>
    <xf numFmtId="0" fontId="2" fillId="6" borderId="9" xfId="0" applyFont="1" applyFill="1" applyBorder="1" applyAlignment="1">
      <alignment vertical="center"/>
    </xf>
    <xf numFmtId="0" fontId="2" fillId="6" borderId="9" xfId="0" applyFont="1" applyFill="1" applyBorder="1" applyAlignment="1">
      <alignment horizontal="justify" vertical="center"/>
    </xf>
    <xf numFmtId="0" fontId="2" fillId="6" borderId="2" xfId="0" applyFont="1" applyFill="1" applyBorder="1" applyAlignment="1">
      <alignment vertical="center"/>
    </xf>
    <xf numFmtId="0" fontId="2" fillId="6" borderId="2" xfId="0" applyFont="1" applyFill="1" applyBorder="1" applyAlignment="1">
      <alignment horizontal="center" vertical="center"/>
    </xf>
    <xf numFmtId="0" fontId="2" fillId="6" borderId="2" xfId="0" applyFont="1" applyFill="1" applyBorder="1" applyAlignment="1">
      <alignment horizontal="justify" vertical="center" wrapText="1"/>
    </xf>
    <xf numFmtId="165" fontId="2" fillId="6" borderId="2" xfId="0" applyNumberFormat="1" applyFont="1" applyFill="1" applyBorder="1" applyAlignment="1">
      <alignment horizontal="center" vertical="center"/>
    </xf>
    <xf numFmtId="166" fontId="2" fillId="6" borderId="2" xfId="0" applyNumberFormat="1" applyFont="1" applyFill="1" applyBorder="1" applyAlignment="1">
      <alignment vertical="center"/>
    </xf>
    <xf numFmtId="0" fontId="2" fillId="6" borderId="2" xfId="0" applyFont="1" applyFill="1" applyBorder="1" applyAlignment="1">
      <alignment horizontal="justify" vertical="center"/>
    </xf>
    <xf numFmtId="166" fontId="2" fillId="6" borderId="10" xfId="0" applyNumberFormat="1" applyFont="1" applyFill="1" applyBorder="1" applyAlignment="1">
      <alignment horizontal="center" vertical="center"/>
    </xf>
    <xf numFmtId="1" fontId="2" fillId="6" borderId="12" xfId="0" applyNumberFormat="1" applyFont="1" applyFill="1" applyBorder="1" applyAlignment="1">
      <alignment horizontal="center" vertical="center"/>
    </xf>
    <xf numFmtId="0" fontId="2" fillId="6" borderId="9" xfId="0" applyFont="1" applyFill="1" applyBorder="1" applyAlignment="1">
      <alignment horizontal="center" vertical="center"/>
    </xf>
    <xf numFmtId="167" fontId="2" fillId="6" borderId="2" xfId="0" applyNumberFormat="1" applyFont="1" applyFill="1" applyBorder="1" applyAlignment="1">
      <alignment vertical="center"/>
    </xf>
    <xf numFmtId="1" fontId="3" fillId="2" borderId="13" xfId="0" applyNumberFormat="1" applyFont="1" applyFill="1" applyBorder="1" applyAlignment="1">
      <alignment vertical="center" wrapText="1"/>
    </xf>
    <xf numFmtId="1" fontId="3" fillId="2" borderId="0" xfId="0" applyNumberFormat="1" applyFont="1" applyFill="1" applyAlignment="1">
      <alignment vertical="center" wrapText="1"/>
    </xf>
    <xf numFmtId="1" fontId="3" fillId="2" borderId="8" xfId="0" applyNumberFormat="1" applyFont="1" applyFill="1" applyBorder="1" applyAlignment="1">
      <alignment vertical="center" wrapText="1"/>
    </xf>
    <xf numFmtId="1" fontId="3" fillId="2" borderId="5" xfId="0" applyNumberFormat="1" applyFont="1" applyFill="1" applyBorder="1" applyAlignment="1">
      <alignment vertical="center" wrapText="1"/>
    </xf>
    <xf numFmtId="1" fontId="3" fillId="2" borderId="7" xfId="0" applyNumberFormat="1" applyFont="1" applyFill="1" applyBorder="1" applyAlignment="1">
      <alignment vertical="center" wrapText="1"/>
    </xf>
    <xf numFmtId="0" fontId="18" fillId="0" borderId="2" xfId="0" applyFont="1" applyBorder="1" applyAlignment="1">
      <alignment horizontal="justify" vertical="center" wrapText="1"/>
    </xf>
    <xf numFmtId="4" fontId="3" fillId="2" borderId="2" xfId="0" applyNumberFormat="1" applyFont="1" applyFill="1" applyBorder="1" applyAlignment="1">
      <alignment horizontal="right" vertical="center" wrapText="1"/>
    </xf>
    <xf numFmtId="1" fontId="3" fillId="2" borderId="11" xfId="0" applyNumberFormat="1" applyFont="1" applyFill="1" applyBorder="1" applyAlignment="1">
      <alignment horizontal="center" vertical="center" wrapText="1"/>
    </xf>
    <xf numFmtId="1" fontId="2" fillId="2" borderId="0" xfId="0" applyNumberFormat="1" applyFont="1" applyFill="1" applyAlignment="1">
      <alignment vertical="center" textRotation="180" wrapText="1"/>
    </xf>
    <xf numFmtId="1" fontId="3" fillId="2" borderId="1" xfId="0" applyNumberFormat="1" applyFont="1" applyFill="1" applyBorder="1" applyAlignment="1">
      <alignment vertical="center" wrapText="1"/>
    </xf>
    <xf numFmtId="0" fontId="18" fillId="0" borderId="15" xfId="0" applyFont="1" applyBorder="1" applyAlignment="1">
      <alignment horizontal="justify" vertical="center" wrapText="1"/>
    </xf>
    <xf numFmtId="0" fontId="18" fillId="0" borderId="14" xfId="0" applyFont="1" applyBorder="1" applyAlignment="1">
      <alignment horizontal="justify" vertical="center" wrapText="1"/>
    </xf>
    <xf numFmtId="4" fontId="3" fillId="2" borderId="9" xfId="0" applyNumberFormat="1" applyFont="1" applyFill="1" applyBorder="1" applyAlignment="1">
      <alignment horizontal="right" vertical="center" wrapText="1"/>
    </xf>
    <xf numFmtId="1" fontId="3" fillId="2" borderId="5" xfId="0" applyNumberFormat="1" applyFont="1" applyFill="1" applyBorder="1" applyAlignment="1">
      <alignment horizontal="center" vertical="center" wrapText="1"/>
    </xf>
    <xf numFmtId="4" fontId="7" fillId="0" borderId="2" xfId="0" applyNumberFormat="1" applyFont="1" applyBorder="1" applyAlignment="1">
      <alignment horizontal="right" vertical="center" wrapText="1"/>
    </xf>
    <xf numFmtId="1" fontId="3" fillId="2" borderId="51" xfId="0" applyNumberFormat="1" applyFont="1" applyFill="1" applyBorder="1" applyAlignment="1">
      <alignment horizontal="center" vertical="center" wrapText="1"/>
    </xf>
    <xf numFmtId="4" fontId="7" fillId="0" borderId="15" xfId="0" applyNumberFormat="1" applyFont="1" applyBorder="1" applyAlignment="1">
      <alignment horizontal="right" vertical="center" wrapText="1"/>
    </xf>
    <xf numFmtId="1" fontId="3" fillId="2" borderId="6" xfId="0" applyNumberFormat="1" applyFont="1" applyFill="1" applyBorder="1" applyAlignment="1">
      <alignment vertical="center" wrapText="1"/>
    </xf>
    <xf numFmtId="1" fontId="3" fillId="2" borderId="3" xfId="0" applyNumberFormat="1" applyFont="1" applyFill="1" applyBorder="1" applyAlignment="1">
      <alignment vertical="center" wrapText="1"/>
    </xf>
    <xf numFmtId="1" fontId="3" fillId="2" borderId="4" xfId="0" applyNumberFormat="1" applyFont="1" applyFill="1" applyBorder="1" applyAlignment="1">
      <alignment vertical="center" wrapText="1"/>
    </xf>
    <xf numFmtId="0" fontId="6" fillId="6" borderId="4" xfId="0" applyFont="1" applyFill="1" applyBorder="1" applyAlignment="1">
      <alignment horizontal="left" vertical="center"/>
    </xf>
    <xf numFmtId="0" fontId="6" fillId="6" borderId="15" xfId="0" applyFont="1" applyFill="1" applyBorder="1" applyAlignment="1">
      <alignment vertical="center"/>
    </xf>
    <xf numFmtId="0" fontId="3" fillId="6" borderId="15" xfId="0" applyFont="1" applyFill="1" applyBorder="1" applyAlignment="1">
      <alignment horizontal="center" vertical="center" wrapText="1"/>
    </xf>
    <xf numFmtId="9" fontId="3" fillId="6" borderId="15" xfId="3" applyFont="1" applyFill="1" applyBorder="1" applyAlignment="1">
      <alignment horizontal="center" vertical="center" wrapText="1"/>
    </xf>
    <xf numFmtId="4" fontId="3" fillId="6" borderId="15" xfId="0" applyNumberFormat="1" applyFont="1" applyFill="1" applyBorder="1" applyAlignment="1">
      <alignment horizontal="right" vertical="center" wrapText="1"/>
    </xf>
    <xf numFmtId="1" fontId="3" fillId="6" borderId="3" xfId="0" applyNumberFormat="1" applyFont="1" applyFill="1" applyBorder="1" applyAlignment="1">
      <alignment horizontal="center" vertical="center" wrapText="1"/>
    </xf>
    <xf numFmtId="0" fontId="3" fillId="6" borderId="17" xfId="0" applyFont="1" applyFill="1" applyBorder="1" applyAlignment="1">
      <alignment horizontal="justify" vertical="center" wrapText="1"/>
    </xf>
    <xf numFmtId="1" fontId="2" fillId="6" borderId="4" xfId="0" applyNumberFormat="1" applyFont="1" applyFill="1" applyBorder="1" applyAlignment="1">
      <alignment horizontal="center" vertical="center" textRotation="180" wrapText="1"/>
    </xf>
    <xf numFmtId="1" fontId="2" fillId="6" borderId="15" xfId="0" applyNumberFormat="1" applyFont="1" applyFill="1" applyBorder="1" applyAlignment="1">
      <alignment horizontal="justify" vertical="center" textRotation="180" wrapText="1"/>
    </xf>
    <xf numFmtId="1" fontId="3" fillId="2" borderId="11" xfId="0" applyNumberFormat="1" applyFont="1" applyFill="1" applyBorder="1" applyAlignment="1">
      <alignment vertical="center" wrapText="1"/>
    </xf>
    <xf numFmtId="1" fontId="3" fillId="2" borderId="12" xfId="0" applyNumberFormat="1" applyFont="1" applyFill="1" applyBorder="1" applyAlignment="1">
      <alignment vertical="center" wrapText="1"/>
    </xf>
    <xf numFmtId="0" fontId="3" fillId="0" borderId="12" xfId="0" applyFont="1" applyBorder="1" applyAlignment="1">
      <alignment horizontal="center" vertical="center"/>
    </xf>
    <xf numFmtId="3" fontId="3" fillId="2" borderId="2" xfId="0" applyNumberFormat="1" applyFont="1" applyFill="1" applyBorder="1" applyAlignment="1">
      <alignment horizontal="center" vertical="center"/>
    </xf>
    <xf numFmtId="0" fontId="3" fillId="2" borderId="2" xfId="0" applyFont="1" applyFill="1" applyBorder="1"/>
    <xf numFmtId="165" fontId="3" fillId="2" borderId="2" xfId="0" applyNumberFormat="1" applyFont="1" applyFill="1" applyBorder="1" applyAlignment="1">
      <alignment horizontal="center" vertical="center"/>
    </xf>
    <xf numFmtId="43" fontId="2" fillId="0" borderId="2" xfId="0" applyNumberFormat="1" applyFont="1" applyBorder="1" applyAlignment="1">
      <alignment horizontal="center" vertical="center"/>
    </xf>
    <xf numFmtId="4" fontId="2" fillId="0" borderId="2" xfId="0" applyNumberFormat="1" applyFont="1" applyBorder="1" applyAlignment="1">
      <alignment horizontal="right" vertical="center"/>
    </xf>
    <xf numFmtId="1" fontId="3" fillId="0" borderId="2" xfId="0" applyNumberFormat="1" applyFont="1" applyBorder="1" applyAlignment="1">
      <alignment horizontal="center" vertical="center"/>
    </xf>
    <xf numFmtId="0" fontId="3" fillId="0" borderId="15" xfId="0" applyFont="1" applyBorder="1" applyAlignment="1">
      <alignment horizontal="center" vertical="center"/>
    </xf>
    <xf numFmtId="167" fontId="3" fillId="0" borderId="10" xfId="0" applyNumberFormat="1" applyFont="1" applyBorder="1" applyAlignment="1">
      <alignment horizontal="right" vertical="center"/>
    </xf>
    <xf numFmtId="168" fontId="3" fillId="2" borderId="2" xfId="0" applyNumberFormat="1" applyFont="1" applyFill="1" applyBorder="1" applyAlignment="1">
      <alignment vertical="center"/>
    </xf>
    <xf numFmtId="1" fontId="16" fillId="0" borderId="0" xfId="0" applyNumberFormat="1" applyFont="1"/>
    <xf numFmtId="0" fontId="16" fillId="2" borderId="0" xfId="0" applyFont="1" applyFill="1" applyAlignment="1">
      <alignment horizontal="justify" vertical="center"/>
    </xf>
    <xf numFmtId="0" fontId="16" fillId="2" borderId="0" xfId="0" applyFont="1" applyFill="1" applyAlignment="1">
      <alignment horizontal="center"/>
    </xf>
    <xf numFmtId="0" fontId="16" fillId="2" borderId="0" xfId="0" applyFont="1" applyFill="1" applyAlignment="1">
      <alignment horizontal="justify" vertical="center" wrapText="1"/>
    </xf>
    <xf numFmtId="165" fontId="16" fillId="2" borderId="0" xfId="0" applyNumberFormat="1" applyFont="1" applyFill="1" applyAlignment="1">
      <alignment horizontal="center" vertical="center"/>
    </xf>
    <xf numFmtId="166" fontId="16" fillId="2" borderId="0" xfId="0" applyNumberFormat="1" applyFont="1" applyFill="1" applyAlignment="1">
      <alignment vertical="center"/>
    </xf>
    <xf numFmtId="176" fontId="16" fillId="2" borderId="0" xfId="0" applyNumberFormat="1" applyFont="1" applyFill="1" applyAlignment="1">
      <alignment horizontal="center" vertical="center"/>
    </xf>
    <xf numFmtId="1" fontId="16" fillId="2" borderId="0" xfId="0" applyNumberFormat="1" applyFont="1" applyFill="1" applyAlignment="1">
      <alignment horizontal="center" vertical="center"/>
    </xf>
    <xf numFmtId="0" fontId="16" fillId="2" borderId="0" xfId="0" applyFont="1" applyFill="1" applyAlignment="1">
      <alignment horizontal="center" vertical="center"/>
    </xf>
    <xf numFmtId="167" fontId="16" fillId="0" borderId="0" xfId="0" applyNumberFormat="1" applyFont="1" applyAlignment="1">
      <alignment horizontal="right" vertical="center"/>
    </xf>
    <xf numFmtId="168" fontId="3" fillId="2" borderId="0" xfId="0" applyNumberFormat="1" applyFont="1" applyFill="1" applyBorder="1" applyAlignment="1">
      <alignment vertical="center"/>
    </xf>
    <xf numFmtId="0" fontId="16" fillId="0" borderId="0" xfId="0" applyFont="1" applyAlignment="1">
      <alignment horizontal="justify" vertical="center"/>
    </xf>
    <xf numFmtId="167" fontId="16" fillId="0" borderId="0" xfId="0" applyNumberFormat="1" applyFont="1" applyBorder="1" applyAlignment="1">
      <alignment horizontal="center"/>
    </xf>
    <xf numFmtId="0" fontId="16" fillId="0" borderId="3" xfId="0" applyFont="1" applyBorder="1"/>
    <xf numFmtId="166" fontId="16" fillId="2" borderId="0" xfId="0" applyNumberFormat="1" applyFont="1" applyFill="1" applyAlignment="1">
      <alignment horizontal="center" vertical="center"/>
    </xf>
    <xf numFmtId="167" fontId="16" fillId="0" borderId="0" xfId="0" applyNumberFormat="1" applyFont="1" applyAlignment="1">
      <alignment horizontal="center"/>
    </xf>
    <xf numFmtId="0" fontId="2" fillId="2" borderId="0" xfId="0" applyFont="1" applyFill="1" applyAlignment="1">
      <alignment horizontal="center"/>
    </xf>
    <xf numFmtId="0" fontId="6" fillId="0" borderId="3" xfId="0" applyFont="1" applyBorder="1" applyAlignment="1">
      <alignment horizontal="center" vertical="center"/>
    </xf>
    <xf numFmtId="0" fontId="2" fillId="0" borderId="0" xfId="0" applyFont="1" applyAlignment="1">
      <alignment horizontal="center" vertical="center"/>
    </xf>
    <xf numFmtId="0" fontId="23" fillId="0" borderId="0" xfId="0" applyFont="1"/>
    <xf numFmtId="0" fontId="21" fillId="0" borderId="52" xfId="0" applyFont="1" applyBorder="1" applyAlignment="1">
      <alignment horizontal="center" vertical="center"/>
    </xf>
    <xf numFmtId="172" fontId="21" fillId="0" borderId="53" xfId="0" applyNumberFormat="1" applyFont="1" applyBorder="1" applyAlignment="1">
      <alignment horizontal="center" vertical="center"/>
    </xf>
    <xf numFmtId="17" fontId="21" fillId="0" borderId="53" xfId="0" applyNumberFormat="1" applyFont="1" applyBorder="1" applyAlignment="1">
      <alignment horizontal="center" vertical="center"/>
    </xf>
    <xf numFmtId="0" fontId="23" fillId="0" borderId="0" xfId="0" applyFont="1" applyAlignment="1">
      <alignment wrapText="1"/>
    </xf>
    <xf numFmtId="0" fontId="21" fillId="0" borderId="9" xfId="0" applyFont="1" applyBorder="1" applyAlignment="1">
      <alignment horizontal="center" vertical="center"/>
    </xf>
    <xf numFmtId="3" fontId="21" fillId="10" borderId="54" xfId="0" applyNumberFormat="1" applyFont="1" applyFill="1" applyBorder="1" applyAlignment="1">
      <alignment horizontal="center" vertical="center" wrapText="1"/>
    </xf>
    <xf numFmtId="0" fontId="25" fillId="0" borderId="0" xfId="0" applyFont="1"/>
    <xf numFmtId="0" fontId="9" fillId="2" borderId="0" xfId="0" applyFont="1" applyFill="1"/>
    <xf numFmtId="0" fontId="24" fillId="0" borderId="49" xfId="0" applyFont="1" applyBorder="1" applyAlignment="1">
      <alignment vertical="center"/>
    </xf>
    <xf numFmtId="0" fontId="24" fillId="0" borderId="3" xfId="0" applyFont="1" applyBorder="1" applyAlignment="1">
      <alignment vertical="center"/>
    </xf>
    <xf numFmtId="0" fontId="24" fillId="0" borderId="6" xfId="0" applyFont="1" applyBorder="1" applyAlignment="1">
      <alignment horizontal="justify" vertical="center"/>
    </xf>
    <xf numFmtId="0" fontId="8" fillId="0" borderId="3" xfId="0" applyFont="1" applyBorder="1" applyAlignment="1">
      <alignment horizontal="center" vertical="center"/>
    </xf>
    <xf numFmtId="0" fontId="24" fillId="0" borderId="3" xfId="0" applyFont="1" applyBorder="1" applyAlignment="1">
      <alignment horizontal="justify" vertical="center"/>
    </xf>
    <xf numFmtId="0" fontId="24" fillId="0" borderId="3" xfId="0" applyFont="1" applyBorder="1" applyAlignment="1">
      <alignment horizontal="center" vertical="center"/>
    </xf>
    <xf numFmtId="173" fontId="8" fillId="0" borderId="3" xfId="7" applyFont="1" applyBorder="1" applyAlignment="1">
      <alignment horizontal="center" vertical="center"/>
    </xf>
    <xf numFmtId="174" fontId="24" fillId="0" borderId="3" xfId="7" applyNumberFormat="1" applyFont="1" applyBorder="1" applyAlignment="1">
      <alignment horizontal="center" vertical="center"/>
    </xf>
    <xf numFmtId="14" fontId="24" fillId="0" borderId="3" xfId="0" applyNumberFormat="1" applyFont="1" applyBorder="1" applyAlignment="1">
      <alignment horizontal="center" vertical="center"/>
    </xf>
    <xf numFmtId="0" fontId="8" fillId="0" borderId="55" xfId="0" applyFont="1" applyBorder="1" applyAlignment="1">
      <alignment horizontal="center" vertical="center"/>
    </xf>
    <xf numFmtId="0" fontId="5" fillId="3" borderId="2" xfId="0"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0" fontId="6" fillId="5" borderId="9" xfId="0" applyNumberFormat="1" applyFont="1" applyFill="1" applyBorder="1" applyAlignment="1">
      <alignment horizontal="left" vertical="center" wrapText="1"/>
    </xf>
    <xf numFmtId="0" fontId="6" fillId="5" borderId="9" xfId="0" applyNumberFormat="1" applyFont="1" applyFill="1" applyBorder="1" applyAlignment="1">
      <alignment horizontal="left" vertical="center"/>
    </xf>
    <xf numFmtId="166" fontId="2" fillId="5" borderId="2" xfId="0" applyNumberFormat="1" applyFont="1" applyFill="1" applyBorder="1" applyAlignment="1">
      <alignment horizontal="center" vertical="center"/>
    </xf>
    <xf numFmtId="167" fontId="2" fillId="2" borderId="0" xfId="0" applyNumberFormat="1" applyFont="1" applyFill="1" applyBorder="1" applyAlignment="1">
      <alignment horizontal="center" vertical="center"/>
    </xf>
    <xf numFmtId="0" fontId="2" fillId="2" borderId="0" xfId="0" applyFont="1" applyFill="1" applyBorder="1" applyAlignment="1">
      <alignment horizontal="justify" vertical="center"/>
    </xf>
    <xf numFmtId="0" fontId="3" fillId="2" borderId="0" xfId="0" applyFont="1" applyFill="1" applyBorder="1"/>
    <xf numFmtId="0" fontId="26" fillId="0" borderId="0" xfId="0" applyFont="1"/>
    <xf numFmtId="0" fontId="6" fillId="6" borderId="7" xfId="0" applyNumberFormat="1" applyFont="1" applyFill="1" applyBorder="1" applyAlignment="1">
      <alignment horizontal="left" vertical="center"/>
    </xf>
    <xf numFmtId="166" fontId="2" fillId="6" borderId="9" xfId="0" applyNumberFormat="1" applyFont="1" applyFill="1" applyBorder="1" applyAlignment="1">
      <alignment horizontal="center" vertical="center"/>
    </xf>
    <xf numFmtId="1" fontId="2" fillId="6" borderId="9" xfId="0" applyNumberFormat="1" applyFont="1" applyFill="1" applyBorder="1" applyAlignment="1">
      <alignment horizontal="center" vertical="center"/>
    </xf>
    <xf numFmtId="167" fontId="2" fillId="6" borderId="9" xfId="0" applyNumberFormat="1" applyFont="1" applyFill="1" applyBorder="1" applyAlignment="1">
      <alignment horizontal="center" vertical="center"/>
    </xf>
    <xf numFmtId="167" fontId="2" fillId="6" borderId="2" xfId="0" applyNumberFormat="1" applyFont="1" applyFill="1" applyBorder="1" applyAlignment="1">
      <alignment horizontal="center" vertical="center"/>
    </xf>
    <xf numFmtId="1" fontId="2" fillId="0" borderId="0" xfId="0" applyNumberFormat="1" applyFont="1" applyFill="1" applyBorder="1" applyAlignment="1">
      <alignment horizontal="center" vertical="center" wrapText="1"/>
    </xf>
    <xf numFmtId="1" fontId="3" fillId="2" borderId="17" xfId="0" applyNumberFormat="1" applyFont="1" applyFill="1" applyBorder="1" applyAlignment="1">
      <alignment horizontal="center" vertical="center"/>
    </xf>
    <xf numFmtId="1" fontId="3" fillId="2" borderId="0" xfId="0" applyNumberFormat="1" applyFont="1" applyFill="1" applyBorder="1" applyAlignment="1">
      <alignment vertical="center" wrapText="1"/>
    </xf>
    <xf numFmtId="0" fontId="7" fillId="2" borderId="30" xfId="5" applyNumberFormat="1" applyFont="1" applyFill="1" applyBorder="1" applyAlignment="1">
      <alignment horizontal="center" vertical="center" wrapText="1"/>
    </xf>
    <xf numFmtId="0" fontId="7" fillId="2" borderId="24" xfId="5" applyNumberFormat="1" applyFont="1" applyFill="1" applyBorder="1" applyAlignment="1">
      <alignment horizontal="center" vertical="center" wrapText="1"/>
    </xf>
    <xf numFmtId="0" fontId="7" fillId="0" borderId="30" xfId="0" applyFont="1" applyFill="1" applyBorder="1" applyAlignment="1">
      <alignment horizontal="justify" vertical="center" wrapText="1"/>
    </xf>
    <xf numFmtId="0" fontId="7" fillId="2" borderId="38" xfId="0" applyFont="1" applyFill="1" applyBorder="1" applyAlignment="1">
      <alignment horizontal="justify" vertical="center" wrapText="1"/>
    </xf>
    <xf numFmtId="1" fontId="3" fillId="2" borderId="38" xfId="0" applyNumberFormat="1" applyFont="1" applyFill="1" applyBorder="1" applyAlignment="1">
      <alignment horizontal="center" vertical="center"/>
    </xf>
    <xf numFmtId="0" fontId="7" fillId="2" borderId="3" xfId="5" applyNumberFormat="1" applyFont="1" applyFill="1" applyBorder="1" applyAlignment="1">
      <alignment horizontal="center" vertical="center" wrapText="1"/>
    </xf>
    <xf numFmtId="0" fontId="7" fillId="0" borderId="29" xfId="5"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9" fontId="3" fillId="2" borderId="2" xfId="3" applyFont="1" applyFill="1" applyBorder="1" applyAlignment="1">
      <alignment horizontal="center" vertical="center"/>
    </xf>
    <xf numFmtId="0" fontId="7" fillId="2" borderId="15" xfId="0" applyFont="1" applyFill="1" applyBorder="1" applyAlignment="1">
      <alignment horizontal="justify" vertical="center" wrapText="1"/>
    </xf>
    <xf numFmtId="0" fontId="7" fillId="2" borderId="11" xfId="5" applyNumberFormat="1" applyFont="1" applyFill="1" applyBorder="1" applyAlignment="1">
      <alignment horizontal="center" vertical="center" wrapText="1"/>
    </xf>
    <xf numFmtId="0" fontId="3" fillId="2" borderId="38" xfId="0" applyFont="1" applyFill="1" applyBorder="1" applyAlignment="1">
      <alignment horizontal="justify" vertical="center" wrapText="1"/>
    </xf>
    <xf numFmtId="0" fontId="7" fillId="2" borderId="12" xfId="5" applyNumberFormat="1" applyFont="1" applyFill="1" applyBorder="1" applyAlignment="1">
      <alignment horizontal="center" vertical="center" wrapText="1"/>
    </xf>
    <xf numFmtId="0" fontId="7" fillId="0" borderId="3" xfId="5" applyNumberFormat="1" applyFont="1" applyFill="1" applyBorder="1" applyAlignment="1">
      <alignment horizontal="center" vertical="center" wrapText="1"/>
    </xf>
    <xf numFmtId="0" fontId="7" fillId="0" borderId="11" xfId="5" applyNumberFormat="1" applyFont="1" applyFill="1" applyBorder="1" applyAlignment="1">
      <alignment horizontal="center" vertical="center" wrapText="1"/>
    </xf>
    <xf numFmtId="0" fontId="2" fillId="6" borderId="1" xfId="0" applyFont="1" applyFill="1" applyBorder="1" applyAlignment="1">
      <alignment horizontal="left" vertical="center"/>
    </xf>
    <xf numFmtId="0" fontId="6" fillId="6" borderId="14" xfId="0" applyFont="1" applyFill="1" applyBorder="1" applyAlignment="1">
      <alignment horizontal="left" vertical="center"/>
    </xf>
    <xf numFmtId="0" fontId="3" fillId="6" borderId="14" xfId="0" applyFont="1" applyFill="1" applyBorder="1"/>
    <xf numFmtId="0" fontId="3" fillId="6" borderId="2" xfId="0" applyFont="1" applyFill="1" applyBorder="1" applyAlignment="1">
      <alignment horizontal="center" vertical="center"/>
    </xf>
    <xf numFmtId="0" fontId="3" fillId="6" borderId="2" xfId="0" applyFont="1" applyFill="1" applyBorder="1" applyAlignment="1">
      <alignment horizontal="justify" vertical="center" wrapText="1"/>
    </xf>
    <xf numFmtId="9" fontId="3" fillId="6" borderId="2" xfId="3" applyFont="1" applyFill="1" applyBorder="1" applyAlignment="1">
      <alignment horizontal="center" vertical="center"/>
    </xf>
    <xf numFmtId="4" fontId="3" fillId="6" borderId="2"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1" fontId="3" fillId="0" borderId="13" xfId="0" applyNumberFormat="1" applyFont="1" applyFill="1" applyBorder="1" applyAlignment="1">
      <alignment vertical="center" wrapText="1"/>
    </xf>
    <xf numFmtId="1" fontId="3" fillId="0" borderId="0" xfId="0" applyNumberFormat="1" applyFont="1" applyFill="1" applyBorder="1" applyAlignment="1">
      <alignment vertical="center" wrapText="1"/>
    </xf>
    <xf numFmtId="1" fontId="3" fillId="0" borderId="1" xfId="0" applyNumberFormat="1" applyFont="1" applyFill="1" applyBorder="1" applyAlignment="1">
      <alignment vertical="center" wrapText="1"/>
    </xf>
    <xf numFmtId="1" fontId="3" fillId="0" borderId="11" xfId="0" applyNumberFormat="1" applyFont="1" applyFill="1" applyBorder="1" applyAlignment="1">
      <alignment vertical="center" wrapText="1"/>
    </xf>
    <xf numFmtId="1" fontId="3" fillId="0" borderId="12" xfId="0" applyNumberFormat="1" applyFont="1" applyFill="1" applyBorder="1" applyAlignment="1">
      <alignment vertical="center" wrapText="1"/>
    </xf>
    <xf numFmtId="0" fontId="7" fillId="0" borderId="12" xfId="5" applyNumberFormat="1" applyFont="1" applyFill="1" applyBorder="1" applyAlignment="1">
      <alignment horizontal="center" vertical="center" wrapText="1"/>
    </xf>
    <xf numFmtId="1" fontId="3" fillId="0" borderId="38" xfId="0" applyNumberFormat="1" applyFont="1" applyFill="1" applyBorder="1" applyAlignment="1">
      <alignment horizontal="center" vertical="center"/>
    </xf>
    <xf numFmtId="0" fontId="3" fillId="0" borderId="38" xfId="0" applyFont="1" applyFill="1" applyBorder="1" applyAlignment="1">
      <alignment horizontal="justify" vertical="center" wrapText="1"/>
    </xf>
    <xf numFmtId="1" fontId="3" fillId="0" borderId="2" xfId="0" applyNumberFormat="1" applyFont="1" applyFill="1" applyBorder="1" applyAlignment="1">
      <alignment horizontal="center" vertical="center"/>
    </xf>
    <xf numFmtId="14"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1" fontId="3" fillId="6" borderId="9" xfId="0" applyNumberFormat="1" applyFont="1" applyFill="1" applyBorder="1" applyAlignment="1">
      <alignment horizontal="center" vertical="center"/>
    </xf>
    <xf numFmtId="0" fontId="3" fillId="6" borderId="9" xfId="0" applyFont="1" applyFill="1" applyBorder="1" applyAlignment="1">
      <alignment horizontal="justify" vertical="center" wrapText="1"/>
    </xf>
    <xf numFmtId="9" fontId="3" fillId="2" borderId="2" xfId="3" applyNumberFormat="1" applyFont="1" applyFill="1" applyBorder="1" applyAlignment="1">
      <alignment horizontal="center" vertical="center"/>
    </xf>
    <xf numFmtId="1" fontId="3" fillId="6" borderId="15" xfId="0" applyNumberFormat="1" applyFont="1" applyFill="1" applyBorder="1" applyAlignment="1">
      <alignment horizontal="center" vertical="center"/>
    </xf>
    <xf numFmtId="1" fontId="3" fillId="0" borderId="13"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1" xfId="0" applyNumberFormat="1" applyFont="1" applyFill="1" applyBorder="1" applyAlignment="1">
      <alignment horizontal="center"/>
    </xf>
    <xf numFmtId="1" fontId="3" fillId="2" borderId="2" xfId="0" applyNumberFormat="1" applyFont="1" applyFill="1" applyBorder="1" applyAlignment="1">
      <alignment horizontal="center" vertical="center"/>
    </xf>
    <xf numFmtId="0" fontId="3" fillId="6" borderId="10" xfId="0" applyFont="1" applyFill="1" applyBorder="1" applyAlignment="1">
      <alignment horizontal="center" vertical="center"/>
    </xf>
    <xf numFmtId="0" fontId="3" fillId="6" borderId="17" xfId="0" applyFont="1" applyFill="1" applyBorder="1" applyAlignment="1">
      <alignment horizontal="center" vertical="center"/>
    </xf>
    <xf numFmtId="9" fontId="3" fillId="6" borderId="17" xfId="3" applyFont="1" applyFill="1" applyBorder="1" applyAlignment="1">
      <alignment horizontal="center" vertical="center"/>
    </xf>
    <xf numFmtId="173" fontId="3" fillId="6" borderId="17" xfId="0" applyNumberFormat="1" applyFont="1" applyFill="1" applyBorder="1" applyAlignment="1">
      <alignment horizontal="justify" vertical="center" wrapText="1"/>
    </xf>
    <xf numFmtId="1" fontId="3" fillId="6" borderId="17" xfId="0" applyNumberFormat="1" applyFont="1" applyFill="1" applyBorder="1" applyAlignment="1">
      <alignment horizontal="center" vertical="center"/>
    </xf>
    <xf numFmtId="0" fontId="3" fillId="6" borderId="9" xfId="0" applyFont="1" applyFill="1" applyBorder="1" applyAlignment="1">
      <alignment horizontal="center" vertical="center"/>
    </xf>
    <xf numFmtId="0" fontId="3" fillId="6" borderId="14" xfId="0" applyFont="1" applyFill="1" applyBorder="1" applyAlignment="1">
      <alignment horizontal="justify" vertical="center" wrapText="1"/>
    </xf>
    <xf numFmtId="0" fontId="3" fillId="6" borderId="14" xfId="0" applyFont="1" applyFill="1" applyBorder="1" applyAlignment="1">
      <alignment horizontal="center" vertical="center"/>
    </xf>
    <xf numFmtId="1" fontId="3" fillId="6" borderId="14" xfId="0" applyNumberFormat="1" applyFont="1" applyFill="1" applyBorder="1" applyAlignment="1">
      <alignment horizontal="center" vertical="center"/>
    </xf>
    <xf numFmtId="1" fontId="3" fillId="0" borderId="6" xfId="0" applyNumberFormat="1" applyFont="1" applyBorder="1" applyAlignment="1"/>
    <xf numFmtId="1" fontId="3" fillId="0" borderId="3" xfId="0" applyNumberFormat="1" applyFont="1" applyBorder="1" applyAlignment="1"/>
    <xf numFmtId="1" fontId="3" fillId="0" borderId="4" xfId="0" applyNumberFormat="1" applyFont="1" applyBorder="1" applyAlignment="1"/>
    <xf numFmtId="1" fontId="3" fillId="0" borderId="5" xfId="0" applyNumberFormat="1" applyFont="1" applyBorder="1" applyAlignment="1"/>
    <xf numFmtId="1" fontId="3" fillId="0" borderId="7" xfId="0" applyNumberFormat="1" applyFont="1" applyBorder="1" applyAlignment="1"/>
    <xf numFmtId="0" fontId="7" fillId="2" borderId="2" xfId="5" applyNumberFormat="1" applyFont="1" applyFill="1" applyBorder="1" applyAlignment="1">
      <alignment horizontal="center" vertical="center" wrapText="1"/>
    </xf>
    <xf numFmtId="0" fontId="7" fillId="0" borderId="2" xfId="5" applyNumberFormat="1" applyFont="1" applyFill="1" applyBorder="1" applyAlignment="1">
      <alignment horizontal="center" vertical="center" wrapText="1"/>
    </xf>
    <xf numFmtId="1" fontId="3" fillId="0" borderId="13" xfId="0" applyNumberFormat="1" applyFont="1" applyFill="1" applyBorder="1" applyAlignment="1"/>
    <xf numFmtId="1" fontId="3" fillId="0" borderId="0" xfId="0" applyNumberFormat="1" applyFont="1" applyFill="1" applyBorder="1" applyAlignment="1"/>
    <xf numFmtId="1" fontId="3" fillId="0" borderId="1" xfId="0" applyNumberFormat="1" applyFont="1" applyFill="1" applyBorder="1" applyAlignment="1"/>
    <xf numFmtId="9" fontId="3" fillId="0" borderId="2" xfId="3" applyNumberFormat="1" applyFont="1" applyFill="1" applyBorder="1" applyAlignment="1">
      <alignment horizontal="center" vertical="center"/>
    </xf>
    <xf numFmtId="0" fontId="26" fillId="0" borderId="0" xfId="0" applyFont="1" applyFill="1"/>
    <xf numFmtId="0" fontId="3" fillId="6" borderId="15" xfId="0" applyFont="1" applyFill="1" applyBorder="1" applyAlignment="1">
      <alignment horizontal="center" vertical="center"/>
    </xf>
    <xf numFmtId="9" fontId="3" fillId="6" borderId="15" xfId="3" applyFont="1" applyFill="1" applyBorder="1" applyAlignment="1">
      <alignment horizontal="center" vertical="center"/>
    </xf>
    <xf numFmtId="0" fontId="7" fillId="0" borderId="17" xfId="5" applyNumberFormat="1" applyFont="1" applyFill="1" applyBorder="1" applyAlignment="1">
      <alignment horizontal="center" vertical="center" wrapText="1"/>
    </xf>
    <xf numFmtId="0" fontId="7" fillId="2" borderId="7" xfId="0" applyFont="1" applyFill="1" applyBorder="1" applyAlignment="1">
      <alignment horizontal="justify" vertical="center" wrapText="1"/>
    </xf>
    <xf numFmtId="0" fontId="26" fillId="2" borderId="0" xfId="0" applyFont="1" applyFill="1"/>
    <xf numFmtId="1" fontId="3" fillId="0" borderId="23" xfId="0" applyNumberFormat="1" applyFont="1" applyFill="1" applyBorder="1" applyAlignment="1">
      <alignment horizontal="center" vertical="center"/>
    </xf>
    <xf numFmtId="0" fontId="7" fillId="2" borderId="29"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3" fillId="2" borderId="17" xfId="0" applyFont="1" applyFill="1" applyBorder="1" applyAlignment="1">
      <alignment horizontal="center" vertical="center"/>
    </xf>
    <xf numFmtId="9" fontId="3" fillId="2" borderId="17" xfId="3" applyNumberFormat="1" applyFont="1" applyFill="1" applyBorder="1" applyAlignment="1">
      <alignment horizontal="center" vertical="center"/>
    </xf>
    <xf numFmtId="1" fontId="2" fillId="5" borderId="14" xfId="0" applyNumberFormat="1" applyFont="1" applyFill="1" applyBorder="1" applyAlignment="1">
      <alignment horizontal="left" vertical="center"/>
    </xf>
    <xf numFmtId="0" fontId="6" fillId="5" borderId="14" xfId="0" applyNumberFormat="1" applyFont="1" applyFill="1" applyBorder="1" applyAlignment="1">
      <alignment horizontal="left" vertical="center"/>
    </xf>
    <xf numFmtId="0" fontId="3" fillId="5" borderId="14" xfId="0" applyFont="1" applyFill="1" applyBorder="1"/>
    <xf numFmtId="0" fontId="3" fillId="5" borderId="15" xfId="0" applyFont="1" applyFill="1" applyBorder="1"/>
    <xf numFmtId="0" fontId="3" fillId="5" borderId="15" xfId="0" applyFont="1" applyFill="1" applyBorder="1" applyAlignment="1">
      <alignment horizontal="center" vertical="center"/>
    </xf>
    <xf numFmtId="0" fontId="3" fillId="5" borderId="15" xfId="0" applyFont="1" applyFill="1" applyBorder="1" applyAlignment="1">
      <alignment horizontal="justify" vertical="center" wrapText="1"/>
    </xf>
    <xf numFmtId="0" fontId="3" fillId="5" borderId="2" xfId="0" applyFont="1" applyFill="1" applyBorder="1" applyAlignment="1">
      <alignment horizontal="center" vertical="center"/>
    </xf>
    <xf numFmtId="0" fontId="3" fillId="5" borderId="2" xfId="0" applyFont="1" applyFill="1" applyBorder="1" applyAlignment="1">
      <alignment horizontal="justify" vertical="center" wrapText="1"/>
    </xf>
    <xf numFmtId="9" fontId="3" fillId="5" borderId="15" xfId="3" applyFont="1" applyFill="1" applyBorder="1" applyAlignment="1">
      <alignment horizontal="center" vertical="center"/>
    </xf>
    <xf numFmtId="1" fontId="3" fillId="5" borderId="15" xfId="0" applyNumberFormat="1" applyFont="1" applyFill="1" applyBorder="1" applyAlignment="1">
      <alignment horizontal="center" vertical="center"/>
    </xf>
    <xf numFmtId="0" fontId="2" fillId="6" borderId="7" xfId="0" applyFont="1" applyFill="1" applyBorder="1" applyAlignment="1">
      <alignment horizontal="left" vertical="center"/>
    </xf>
    <xf numFmtId="0" fontId="3" fillId="6" borderId="9" xfId="0" applyFont="1" applyFill="1" applyBorder="1"/>
    <xf numFmtId="0" fontId="7" fillId="2" borderId="9" xfId="0" applyFont="1" applyFill="1" applyBorder="1" applyAlignment="1">
      <alignment horizontal="justify" vertical="center" wrapText="1"/>
    </xf>
    <xf numFmtId="0" fontId="2"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3" fillId="2" borderId="29" xfId="0" applyFont="1" applyFill="1" applyBorder="1" applyAlignment="1">
      <alignment horizontal="justify" vertical="center" wrapText="1"/>
    </xf>
    <xf numFmtId="1" fontId="3" fillId="2" borderId="24" xfId="0" applyNumberFormat="1" applyFont="1" applyFill="1" applyBorder="1" applyAlignment="1">
      <alignment horizontal="center" vertical="center"/>
    </xf>
    <xf numFmtId="0" fontId="7" fillId="2" borderId="14" xfId="0" applyFont="1" applyFill="1" applyBorder="1" applyAlignment="1">
      <alignment horizontal="justify" vertical="center" wrapText="1"/>
    </xf>
    <xf numFmtId="1" fontId="3" fillId="2" borderId="26"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71" fontId="7" fillId="6" borderId="2" xfId="0" applyNumberFormat="1" applyFont="1" applyFill="1" applyBorder="1" applyAlignment="1">
      <alignment horizontal="center" vertical="center" wrapText="1"/>
    </xf>
    <xf numFmtId="0" fontId="26" fillId="2" borderId="0" xfId="0" applyFont="1" applyFill="1" applyAlignment="1">
      <alignment horizontal="justify" vertical="center" wrapText="1"/>
    </xf>
    <xf numFmtId="0" fontId="7" fillId="2" borderId="2" xfId="0"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0" fontId="26" fillId="2" borderId="0" xfId="0" applyFont="1" applyFill="1" applyAlignment="1">
      <alignment wrapText="1"/>
    </xf>
    <xf numFmtId="1" fontId="3" fillId="0" borderId="6" xfId="0" applyNumberFormat="1" applyFont="1" applyFill="1" applyBorder="1"/>
    <xf numFmtId="0" fontId="3" fillId="0" borderId="11" xfId="0" applyFont="1" applyFill="1" applyBorder="1"/>
    <xf numFmtId="0" fontId="3" fillId="0" borderId="12" xfId="0" applyFont="1" applyFill="1" applyBorder="1"/>
    <xf numFmtId="0" fontId="3" fillId="0" borderId="12" xfId="0" applyFont="1" applyFill="1" applyBorder="1" applyAlignment="1">
      <alignment horizontal="center" vertical="center"/>
    </xf>
    <xf numFmtId="165" fontId="3" fillId="0" borderId="2" xfId="0" applyNumberFormat="1" applyFont="1" applyFill="1" applyBorder="1" applyAlignment="1">
      <alignment horizontal="center" vertical="center"/>
    </xf>
    <xf numFmtId="173" fontId="2" fillId="0" borderId="2" xfId="7" applyFont="1" applyFill="1" applyBorder="1" applyAlignment="1">
      <alignment horizontal="center" vertical="center"/>
    </xf>
    <xf numFmtId="0" fontId="3" fillId="0" borderId="2" xfId="0" applyFont="1" applyFill="1" applyBorder="1" applyAlignment="1">
      <alignment horizontal="justify" vertical="center"/>
    </xf>
    <xf numFmtId="0" fontId="3" fillId="0" borderId="2" xfId="0" applyFont="1" applyFill="1" applyBorder="1" applyAlignment="1">
      <alignment horizontal="center"/>
    </xf>
    <xf numFmtId="167" fontId="3" fillId="2" borderId="15" xfId="0" applyNumberFormat="1" applyFont="1" applyFill="1" applyBorder="1" applyAlignment="1">
      <alignment horizontal="center" vertical="center"/>
    </xf>
    <xf numFmtId="167" fontId="3" fillId="2" borderId="15" xfId="0" applyNumberFormat="1" applyFont="1" applyFill="1" applyBorder="1" applyAlignment="1">
      <alignment horizontal="center"/>
    </xf>
    <xf numFmtId="0" fontId="3" fillId="2" borderId="15" xfId="0" applyFont="1" applyFill="1" applyBorder="1" applyAlignment="1">
      <alignment horizontal="justify" vertical="center"/>
    </xf>
    <xf numFmtId="0" fontId="25" fillId="0" borderId="0" xfId="0" applyFont="1" applyAlignment="1">
      <alignment horizontal="center" vertical="center"/>
    </xf>
    <xf numFmtId="0" fontId="25" fillId="0" borderId="0" xfId="0" applyFont="1" applyAlignment="1">
      <alignment horizontal="justify" vertical="center"/>
    </xf>
    <xf numFmtId="173" fontId="9" fillId="2" borderId="0" xfId="0" applyNumberFormat="1" applyFont="1" applyFill="1" applyAlignment="1">
      <alignment vertical="center"/>
    </xf>
    <xf numFmtId="0" fontId="9" fillId="2" borderId="0" xfId="0" applyFont="1" applyFill="1" applyAlignment="1">
      <alignment horizontal="justify" vertical="center" wrapText="1"/>
    </xf>
    <xf numFmtId="173" fontId="9" fillId="2" borderId="0" xfId="0" applyNumberFormat="1" applyFont="1" applyFill="1" applyAlignment="1">
      <alignment horizontal="center" vertical="center"/>
    </xf>
    <xf numFmtId="0" fontId="25" fillId="2" borderId="0" xfId="0" applyFont="1" applyFill="1"/>
    <xf numFmtId="0" fontId="25" fillId="0" borderId="0" xfId="0" applyFont="1" applyFill="1" applyBorder="1"/>
    <xf numFmtId="4" fontId="27" fillId="0" borderId="0" xfId="0" applyNumberFormat="1" applyFont="1" applyFill="1" applyBorder="1"/>
    <xf numFmtId="0" fontId="25" fillId="0" borderId="0" xfId="0" applyFont="1" applyFill="1" applyBorder="1" applyAlignment="1">
      <alignment horizontal="justify" vertical="center"/>
    </xf>
    <xf numFmtId="0" fontId="9" fillId="0" borderId="0" xfId="0" applyFont="1" applyFill="1" applyBorder="1" applyAlignment="1">
      <alignment horizontal="justify" vertical="center" wrapText="1"/>
    </xf>
    <xf numFmtId="4" fontId="27" fillId="0" borderId="0" xfId="0" applyNumberFormat="1" applyFont="1" applyFill="1" applyBorder="1" applyAlignment="1"/>
    <xf numFmtId="0" fontId="25" fillId="2" borderId="0" xfId="0" applyFont="1" applyFill="1" applyAlignment="1">
      <alignment horizontal="justify" vertical="center"/>
    </xf>
    <xf numFmtId="0" fontId="9" fillId="0" borderId="3" xfId="0" applyFont="1" applyBorder="1"/>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Fill="1" applyBorder="1" applyAlignment="1">
      <alignment horizontal="justify" vertical="center" wrapText="1"/>
    </xf>
    <xf numFmtId="166" fontId="9" fillId="0" borderId="0" xfId="0" applyNumberFormat="1" applyFont="1" applyFill="1" applyBorder="1" applyAlignment="1">
      <alignment vertical="center"/>
    </xf>
    <xf numFmtId="173" fontId="6" fillId="0" borderId="0" xfId="7" applyFont="1" applyFill="1" applyBorder="1" applyAlignment="1" applyProtection="1">
      <alignment horizontal="right" vertical="center"/>
      <protection locked="0"/>
    </xf>
    <xf numFmtId="0" fontId="25" fillId="0" borderId="0" xfId="0" applyFont="1" applyFill="1"/>
    <xf numFmtId="0" fontId="6" fillId="0" borderId="0" xfId="0" applyFont="1" applyFill="1" applyBorder="1" applyAlignment="1">
      <alignment horizontal="left" vertical="center"/>
    </xf>
    <xf numFmtId="0" fontId="25" fillId="0" borderId="0" xfId="0"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0" xfId="0" applyNumberFormat="1" applyFont="1" applyFill="1" applyAlignment="1">
      <alignment horizontal="center" vertical="center"/>
    </xf>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justify" vertical="center"/>
    </xf>
    <xf numFmtId="165" fontId="9" fillId="0" borderId="0" xfId="0" applyNumberFormat="1" applyFont="1" applyFill="1" applyBorder="1" applyAlignment="1">
      <alignment horizontal="center" vertical="center"/>
    </xf>
    <xf numFmtId="176" fontId="9" fillId="0" borderId="0" xfId="0" applyNumberFormat="1" applyFont="1" applyFill="1" applyBorder="1" applyAlignment="1">
      <alignment vertical="center"/>
    </xf>
    <xf numFmtId="0" fontId="2" fillId="0" borderId="3" xfId="0" applyFont="1" applyBorder="1" applyAlignment="1">
      <alignment horizontal="center" vertical="center"/>
    </xf>
    <xf numFmtId="0" fontId="3" fillId="2" borderId="2" xfId="0" applyFont="1" applyFill="1" applyBorder="1" applyAlignment="1">
      <alignment horizontal="center" vertical="center"/>
    </xf>
    <xf numFmtId="0" fontId="6" fillId="0" borderId="0" xfId="0" applyFont="1" applyBorder="1" applyAlignment="1">
      <alignment horizontal="center" vertical="center" wrapText="1"/>
    </xf>
    <xf numFmtId="3" fontId="21" fillId="10" borderId="53"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7" fillId="0" borderId="55" xfId="0" applyFont="1" applyBorder="1" applyAlignment="1">
      <alignment horizontal="center" vertical="center"/>
    </xf>
    <xf numFmtId="3" fontId="2" fillId="3" borderId="0" xfId="0" applyNumberFormat="1"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1" xfId="0" applyFont="1" applyFill="1" applyBorder="1" applyAlignment="1">
      <alignment vertical="center"/>
    </xf>
    <xf numFmtId="0" fontId="7" fillId="5" borderId="11" xfId="0" applyFont="1" applyFill="1" applyBorder="1" applyAlignment="1">
      <alignment horizontal="justify" vertical="center"/>
    </xf>
    <xf numFmtId="0" fontId="7" fillId="5" borderId="11" xfId="0" applyFont="1" applyFill="1" applyBorder="1" applyAlignment="1">
      <alignment horizontal="justify" vertical="center" wrapText="1"/>
    </xf>
    <xf numFmtId="9" fontId="7" fillId="5" borderId="11" xfId="3" applyFont="1" applyFill="1" applyBorder="1" applyAlignment="1">
      <alignment horizontal="center" vertical="center"/>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6" borderId="7" xfId="0" applyFont="1" applyFill="1" applyBorder="1" applyAlignment="1">
      <alignment horizontal="left" vertical="center" wrapText="1"/>
    </xf>
    <xf numFmtId="0" fontId="6" fillId="6" borderId="11" xfId="0" applyFont="1" applyFill="1" applyBorder="1" applyAlignment="1">
      <alignment vertical="center" wrapText="1"/>
    </xf>
    <xf numFmtId="0" fontId="6" fillId="6" borderId="11" xfId="0" applyFont="1" applyFill="1" applyBorder="1" applyAlignment="1">
      <alignment horizontal="justify" vertical="center"/>
    </xf>
    <xf numFmtId="0" fontId="7" fillId="6" borderId="11" xfId="0" applyFont="1" applyFill="1" applyBorder="1" applyAlignment="1">
      <alignment horizontal="justify" vertical="center" wrapText="1"/>
    </xf>
    <xf numFmtId="173" fontId="6" fillId="6" borderId="11" xfId="10" applyFont="1" applyFill="1" applyBorder="1" applyAlignment="1">
      <alignment horizontal="justify" vertical="center" wrapText="1"/>
    </xf>
    <xf numFmtId="9" fontId="6" fillId="6" borderId="11" xfId="3" applyFont="1" applyFill="1" applyBorder="1" applyAlignment="1">
      <alignment horizontal="center" vertical="center"/>
    </xf>
    <xf numFmtId="173" fontId="6" fillId="6" borderId="11" xfId="7" applyFont="1" applyFill="1" applyBorder="1" applyAlignment="1">
      <alignment horizontal="center" vertical="center"/>
    </xf>
    <xf numFmtId="173" fontId="6" fillId="6" borderId="11" xfId="10" applyFont="1" applyFill="1" applyBorder="1" applyAlignment="1">
      <alignment horizontal="center" vertical="center"/>
    </xf>
    <xf numFmtId="173" fontId="7" fillId="6" borderId="11" xfId="10" applyFont="1" applyFill="1" applyBorder="1" applyAlignment="1">
      <alignment horizontal="justify" vertical="center"/>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6" fillId="0" borderId="11" xfId="0" applyFont="1" applyFill="1" applyBorder="1" applyAlignment="1">
      <alignment horizontal="center" vertical="center" wrapText="1"/>
    </xf>
    <xf numFmtId="169" fontId="29" fillId="0" borderId="10" xfId="5" applyFont="1" applyFill="1" applyBorder="1" applyAlignment="1">
      <alignment horizontal="justify" vertical="center" wrapText="1"/>
    </xf>
    <xf numFmtId="0" fontId="29" fillId="0" borderId="2" xfId="5" applyNumberFormat="1" applyFont="1" applyFill="1" applyBorder="1" applyAlignment="1">
      <alignment horizontal="justify" vertical="center" wrapText="1"/>
    </xf>
    <xf numFmtId="9" fontId="7" fillId="0" borderId="2" xfId="3" applyFont="1" applyFill="1" applyBorder="1" applyAlignment="1">
      <alignment horizontal="center" vertical="center"/>
    </xf>
    <xf numFmtId="173" fontId="7" fillId="0" borderId="2" xfId="7" applyNumberFormat="1" applyFont="1" applyFill="1" applyBorder="1" applyAlignment="1">
      <alignment horizontal="right" vertical="center" wrapText="1"/>
    </xf>
    <xf numFmtId="9" fontId="7" fillId="0" borderId="2" xfId="3" applyFont="1" applyFill="1" applyBorder="1" applyAlignment="1">
      <alignment horizontal="justify" vertical="center" wrapText="1"/>
    </xf>
    <xf numFmtId="173" fontId="7" fillId="0" borderId="2" xfId="7" applyFont="1" applyFill="1" applyBorder="1" applyAlignment="1">
      <alignment vertical="center"/>
    </xf>
    <xf numFmtId="0" fontId="7" fillId="0" borderId="10"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7" fillId="6" borderId="5" xfId="0" applyFont="1" applyFill="1" applyBorder="1" applyAlignment="1">
      <alignment horizontal="center" vertical="center" wrapText="1"/>
    </xf>
    <xf numFmtId="0" fontId="6" fillId="6" borderId="5" xfId="0" applyFont="1" applyFill="1" applyBorder="1" applyAlignment="1">
      <alignment horizontal="justify" vertical="center"/>
    </xf>
    <xf numFmtId="0" fontId="6" fillId="6" borderId="5" xfId="0" applyFont="1" applyFill="1" applyBorder="1" applyAlignment="1">
      <alignment vertical="center"/>
    </xf>
    <xf numFmtId="0" fontId="6" fillId="6" borderId="0" xfId="0" applyFont="1" applyFill="1" applyAlignment="1">
      <alignment horizontal="justify" vertical="center" wrapText="1"/>
    </xf>
    <xf numFmtId="0" fontId="6" fillId="6" borderId="0" xfId="0" applyFont="1" applyFill="1" applyAlignment="1">
      <alignment horizontal="center" vertical="center"/>
    </xf>
    <xf numFmtId="173" fontId="6" fillId="6" borderId="0" xfId="7" applyNumberFormat="1" applyFont="1" applyFill="1" applyAlignment="1">
      <alignment horizontal="center" vertical="center"/>
    </xf>
    <xf numFmtId="0" fontId="6" fillId="6" borderId="0" xfId="0" applyFont="1" applyFill="1" applyAlignment="1">
      <alignment horizontal="justify" vertical="center"/>
    </xf>
    <xf numFmtId="173" fontId="30" fillId="6" borderId="0" xfId="7" applyFont="1" applyFill="1" applyAlignment="1">
      <alignment horizontal="center" vertical="center"/>
    </xf>
    <xf numFmtId="1" fontId="7" fillId="6" borderId="5" xfId="10" applyNumberFormat="1" applyFont="1" applyFill="1" applyBorder="1" applyAlignment="1">
      <alignment horizontal="center" vertical="center"/>
    </xf>
    <xf numFmtId="173" fontId="7" fillId="6" borderId="5" xfId="10" applyFont="1" applyFill="1" applyBorder="1" applyAlignment="1">
      <alignment horizontal="justify" vertical="center"/>
    </xf>
    <xf numFmtId="173" fontId="7" fillId="0" borderId="2" xfId="7" applyNumberFormat="1" applyFont="1" applyFill="1" applyBorder="1" applyAlignment="1">
      <alignment vertical="center"/>
    </xf>
    <xf numFmtId="1" fontId="7" fillId="0" borderId="2" xfId="10" applyNumberFormat="1" applyFont="1" applyFill="1" applyBorder="1" applyAlignment="1">
      <alignment horizontal="center" vertical="center"/>
    </xf>
    <xf numFmtId="173" fontId="7" fillId="0" borderId="2" xfId="7" applyNumberFormat="1" applyFont="1" applyFill="1" applyBorder="1" applyAlignment="1">
      <alignment horizontal="justify" vertical="center"/>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xf>
    <xf numFmtId="0" fontId="6" fillId="5" borderId="0" xfId="0" applyFont="1" applyFill="1" applyBorder="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justify" vertical="center" wrapText="1"/>
    </xf>
    <xf numFmtId="0" fontId="6" fillId="5" borderId="15" xfId="0" applyFont="1" applyFill="1" applyBorder="1" applyAlignment="1">
      <alignment horizontal="justify" vertical="center" wrapText="1"/>
    </xf>
    <xf numFmtId="0" fontId="6" fillId="5" borderId="15" xfId="0" applyFont="1" applyFill="1" applyBorder="1" applyAlignment="1">
      <alignment horizontal="center" vertical="center" wrapText="1"/>
    </xf>
    <xf numFmtId="173" fontId="6" fillId="5" borderId="15" xfId="7" applyNumberFormat="1" applyFont="1" applyFill="1" applyBorder="1" applyAlignment="1">
      <alignment horizontal="center" vertical="center" wrapText="1"/>
    </xf>
    <xf numFmtId="173" fontId="30" fillId="5" borderId="15" xfId="7" applyFont="1" applyFill="1" applyBorder="1" applyAlignment="1">
      <alignment horizontal="center" vertical="center" wrapText="1"/>
    </xf>
    <xf numFmtId="1" fontId="7" fillId="5" borderId="3" xfId="0" applyNumberFormat="1" applyFont="1" applyFill="1" applyBorder="1" applyAlignment="1">
      <alignment horizontal="center" vertical="center"/>
    </xf>
    <xf numFmtId="0" fontId="7" fillId="5" borderId="3" xfId="0" applyFont="1" applyFill="1" applyBorder="1" applyAlignment="1">
      <alignment horizontal="justify" vertical="center"/>
    </xf>
    <xf numFmtId="0" fontId="7" fillId="6" borderId="11" xfId="0" applyFont="1" applyFill="1" applyBorder="1" applyAlignment="1">
      <alignment horizontal="center" vertical="center" wrapText="1"/>
    </xf>
    <xf numFmtId="0" fontId="6" fillId="6" borderId="11" xfId="0" applyFont="1" applyFill="1" applyBorder="1" applyAlignment="1">
      <alignment vertical="center"/>
    </xf>
    <xf numFmtId="1" fontId="7" fillId="6" borderId="11" xfId="10" applyNumberFormat="1" applyFont="1" applyFill="1" applyBorder="1" applyAlignment="1">
      <alignment horizontal="center" vertical="center"/>
    </xf>
    <xf numFmtId="1" fontId="3" fillId="0" borderId="13" xfId="0" applyNumberFormat="1" applyFont="1" applyFill="1" applyBorder="1"/>
    <xf numFmtId="0" fontId="3" fillId="0" borderId="10" xfId="0" applyFont="1" applyFill="1" applyBorder="1"/>
    <xf numFmtId="0" fontId="7" fillId="0" borderId="12" xfId="5" applyNumberFormat="1" applyFont="1" applyFill="1" applyBorder="1">
      <alignment horizontal="center" vertical="center" wrapText="1"/>
    </xf>
    <xf numFmtId="0" fontId="7" fillId="0" borderId="10" xfId="5" applyNumberFormat="1" applyFont="1" applyFill="1" applyBorder="1">
      <alignment horizontal="center" vertical="center" wrapText="1"/>
    </xf>
    <xf numFmtId="173" fontId="3" fillId="0" borderId="8" xfId="7" applyNumberFormat="1" applyFont="1" applyFill="1" applyBorder="1" applyAlignment="1">
      <alignment horizontal="center" vertical="center" wrapText="1"/>
    </xf>
    <xf numFmtId="9" fontId="3" fillId="0" borderId="2" xfId="3" applyFont="1" applyFill="1" applyBorder="1" applyAlignment="1">
      <alignment horizontal="justify" vertical="center" wrapText="1"/>
    </xf>
    <xf numFmtId="0" fontId="6" fillId="6" borderId="4" xfId="0" applyFont="1" applyFill="1" applyBorder="1" applyAlignment="1">
      <alignment horizontal="left" vertical="center" wrapText="1"/>
    </xf>
    <xf numFmtId="0" fontId="6" fillId="6" borderId="3" xfId="0" applyFont="1" applyFill="1" applyBorder="1" applyAlignment="1">
      <alignment horizontal="left" vertical="center"/>
    </xf>
    <xf numFmtId="0" fontId="6" fillId="0" borderId="5"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justify" vertical="center" wrapText="1"/>
    </xf>
    <xf numFmtId="173" fontId="7" fillId="0" borderId="2" xfId="7" applyNumberFormat="1" applyFont="1" applyFill="1" applyBorder="1" applyAlignment="1">
      <alignment horizontal="right" vertical="center"/>
    </xf>
    <xf numFmtId="9" fontId="7" fillId="0" borderId="2" xfId="3" applyFont="1" applyFill="1" applyBorder="1" applyAlignment="1">
      <alignment horizontal="justify" vertical="center"/>
    </xf>
    <xf numFmtId="1" fontId="7" fillId="0" borderId="2" xfId="0" applyNumberFormat="1" applyFont="1" applyFill="1" applyBorder="1" applyAlignment="1">
      <alignment horizontal="center" vertical="center" wrapText="1"/>
    </xf>
    <xf numFmtId="1" fontId="7" fillId="0" borderId="2" xfId="0" applyNumberFormat="1"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xf>
    <xf numFmtId="0" fontId="6" fillId="5" borderId="0" xfId="0" applyFont="1" applyFill="1" applyBorder="1" applyAlignment="1">
      <alignment vertical="center" wrapText="1"/>
    </xf>
    <xf numFmtId="0" fontId="6" fillId="5" borderId="7" xfId="0" applyFont="1" applyFill="1" applyBorder="1" applyAlignment="1">
      <alignment vertical="center" wrapText="1"/>
    </xf>
    <xf numFmtId="0" fontId="6" fillId="5" borderId="0" xfId="0" applyFont="1" applyFill="1" applyAlignment="1">
      <alignment vertical="center" wrapText="1"/>
    </xf>
    <xf numFmtId="173" fontId="6" fillId="5" borderId="0" xfId="7" applyNumberFormat="1" applyFont="1" applyFill="1" applyAlignment="1">
      <alignment vertical="center" wrapText="1"/>
    </xf>
    <xf numFmtId="173" fontId="30" fillId="5" borderId="0" xfId="7" applyFont="1" applyFill="1" applyAlignment="1">
      <alignment vertical="center" wrapText="1"/>
    </xf>
    <xf numFmtId="1" fontId="7" fillId="5" borderId="0" xfId="0" applyNumberFormat="1" applyFont="1" applyFill="1" applyBorder="1" applyAlignment="1">
      <alignment horizontal="center" vertical="center"/>
    </xf>
    <xf numFmtId="0" fontId="7" fillId="5" borderId="0" xfId="0" applyFont="1" applyFill="1" applyBorder="1" applyAlignment="1">
      <alignment horizontal="justify" vertical="center"/>
    </xf>
    <xf numFmtId="0" fontId="6" fillId="6" borderId="2" xfId="0" applyFont="1" applyFill="1" applyBorder="1" applyAlignment="1">
      <alignment horizontal="justify" vertical="center" wrapText="1"/>
    </xf>
    <xf numFmtId="0" fontId="6" fillId="6" borderId="2" xfId="0" applyFont="1" applyFill="1" applyBorder="1" applyAlignment="1">
      <alignment horizontal="justify" vertical="center"/>
    </xf>
    <xf numFmtId="173" fontId="6" fillId="6" borderId="2" xfId="7" applyNumberFormat="1" applyFont="1" applyFill="1" applyBorder="1" applyAlignment="1">
      <alignment vertical="center"/>
    </xf>
    <xf numFmtId="173" fontId="30" fillId="6" borderId="2" xfId="7" applyFont="1" applyFill="1" applyBorder="1" applyAlignment="1">
      <alignment vertical="center"/>
    </xf>
    <xf numFmtId="1" fontId="7" fillId="6" borderId="2" xfId="10" applyNumberFormat="1" applyFont="1" applyFill="1" applyBorder="1" applyAlignment="1">
      <alignment horizontal="center" vertical="center"/>
    </xf>
    <xf numFmtId="173" fontId="7" fillId="6" borderId="10" xfId="10" applyFont="1" applyFill="1" applyBorder="1" applyAlignment="1">
      <alignment horizontal="justify" vertical="center"/>
    </xf>
    <xf numFmtId="178" fontId="26" fillId="0" borderId="2" xfId="0" applyNumberFormat="1" applyFont="1" applyFill="1" applyBorder="1" applyAlignment="1">
      <alignment horizontal="center" vertical="center" wrapText="1"/>
    </xf>
    <xf numFmtId="0" fontId="26" fillId="0" borderId="2" xfId="0" applyFont="1" applyFill="1" applyBorder="1" applyAlignment="1">
      <alignment horizontal="justify" vertical="center"/>
    </xf>
    <xf numFmtId="9" fontId="3" fillId="0" borderId="2" xfId="3" applyFont="1" applyFill="1" applyBorder="1" applyAlignment="1">
      <alignment horizontal="justify" vertical="center"/>
    </xf>
    <xf numFmtId="1" fontId="2" fillId="0" borderId="10" xfId="0" applyNumberFormat="1" applyFont="1" applyBorder="1"/>
    <xf numFmtId="0" fontId="2" fillId="0" borderId="11" xfId="0" applyFont="1" applyBorder="1"/>
    <xf numFmtId="0" fontId="2" fillId="0" borderId="12" xfId="0" applyFont="1" applyBorder="1"/>
    <xf numFmtId="0" fontId="2" fillId="0" borderId="2" xfId="0" applyFont="1" applyBorder="1"/>
    <xf numFmtId="0" fontId="2" fillId="2" borderId="2" xfId="0" applyFont="1" applyFill="1" applyBorder="1" applyAlignment="1">
      <alignment vertical="center"/>
    </xf>
    <xf numFmtId="0" fontId="2" fillId="2" borderId="2" xfId="0" applyFont="1" applyFill="1" applyBorder="1" applyAlignment="1">
      <alignment horizontal="justify"/>
    </xf>
    <xf numFmtId="0" fontId="2" fillId="2" borderId="2" xfId="0" applyFont="1" applyFill="1" applyBorder="1"/>
    <xf numFmtId="0" fontId="2" fillId="2" borderId="2" xfId="0" applyFont="1" applyFill="1" applyBorder="1" applyAlignment="1">
      <alignment horizontal="justify" vertical="center" wrapText="1"/>
    </xf>
    <xf numFmtId="9" fontId="2" fillId="2" borderId="2" xfId="3" applyFont="1" applyFill="1" applyBorder="1" applyAlignment="1">
      <alignment horizontal="center" vertical="center"/>
    </xf>
    <xf numFmtId="173" fontId="2" fillId="2" borderId="2" xfId="7" applyNumberFormat="1" applyFont="1" applyFill="1" applyBorder="1" applyAlignment="1">
      <alignment horizontal="center" vertical="center"/>
    </xf>
    <xf numFmtId="173" fontId="6" fillId="0" borderId="2" xfId="7"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2" xfId="0" applyFont="1" applyFill="1" applyBorder="1" applyAlignment="1">
      <alignment horizontal="justify" vertical="center"/>
    </xf>
    <xf numFmtId="167" fontId="2" fillId="0" borderId="2" xfId="0" applyNumberFormat="1" applyFont="1" applyBorder="1" applyAlignment="1">
      <alignment horizontal="right" vertical="center"/>
    </xf>
    <xf numFmtId="167" fontId="2" fillId="0" borderId="2" xfId="0" applyNumberFormat="1" applyFont="1" applyBorder="1" applyAlignment="1">
      <alignment horizontal="center"/>
    </xf>
    <xf numFmtId="0" fontId="2" fillId="0" borderId="2" xfId="0" applyFont="1" applyBorder="1" applyAlignment="1">
      <alignment horizontal="justify" vertical="center"/>
    </xf>
    <xf numFmtId="0" fontId="3" fillId="2" borderId="0" xfId="0" applyFont="1" applyFill="1" applyAlignment="1">
      <alignment vertical="center"/>
    </xf>
    <xf numFmtId="0" fontId="3" fillId="2" borderId="0" xfId="0" applyFont="1" applyFill="1" applyAlignment="1">
      <alignment horizontal="justify"/>
    </xf>
    <xf numFmtId="9" fontId="3" fillId="2" borderId="0" xfId="3" applyFont="1" applyFill="1" applyAlignment="1">
      <alignment horizontal="center" vertical="center"/>
    </xf>
    <xf numFmtId="1" fontId="3" fillId="0" borderId="0" xfId="0" applyNumberFormat="1" applyFont="1" applyFill="1" applyAlignment="1">
      <alignment horizontal="center" vertical="center"/>
    </xf>
    <xf numFmtId="0" fontId="3" fillId="0" borderId="0" xfId="0" applyFont="1" applyFill="1" applyAlignment="1">
      <alignment horizontal="justify" vertical="center"/>
    </xf>
    <xf numFmtId="167" fontId="3" fillId="0" borderId="0" xfId="0" applyNumberFormat="1" applyFont="1" applyAlignment="1">
      <alignment horizontal="right" vertical="center"/>
    </xf>
    <xf numFmtId="170" fontId="23" fillId="0" borderId="0" xfId="6" applyFont="1" applyFill="1" applyBorder="1" applyAlignment="1">
      <alignment vertical="center" wrapText="1"/>
    </xf>
    <xf numFmtId="0" fontId="0" fillId="0" borderId="0" xfId="0" applyFill="1"/>
    <xf numFmtId="0" fontId="2" fillId="2" borderId="0" xfId="0" applyFont="1" applyFill="1" applyAlignment="1">
      <alignment horizontal="center"/>
    </xf>
    <xf numFmtId="0" fontId="3" fillId="0" borderId="17" xfId="0" applyFont="1" applyBorder="1" applyAlignment="1">
      <alignment horizontal="justify" vertical="center" wrapText="1"/>
    </xf>
    <xf numFmtId="1" fontId="3" fillId="2" borderId="13" xfId="0" applyNumberFormat="1" applyFont="1" applyFill="1" applyBorder="1" applyAlignment="1">
      <alignment horizontal="center" vertical="center" wrapText="1"/>
    </xf>
    <xf numFmtId="1" fontId="3" fillId="2" borderId="0" xfId="0" applyNumberFormat="1" applyFont="1" applyFill="1" applyAlignment="1">
      <alignment horizontal="center" vertical="center" wrapText="1"/>
    </xf>
    <xf numFmtId="0" fontId="3" fillId="0" borderId="24" xfId="0" applyFont="1" applyBorder="1" applyAlignment="1">
      <alignment horizontal="justify" vertical="center" wrapText="1"/>
    </xf>
    <xf numFmtId="0" fontId="3" fillId="0" borderId="9" xfId="0" applyFont="1" applyBorder="1" applyAlignment="1">
      <alignment horizontal="justify" vertical="center" wrapText="1"/>
    </xf>
    <xf numFmtId="1" fontId="2" fillId="2" borderId="8" xfId="0" applyNumberFormat="1" applyFont="1" applyFill="1" applyBorder="1" applyAlignment="1">
      <alignment horizontal="center" vertical="center" wrapText="1"/>
    </xf>
    <xf numFmtId="0" fontId="3" fillId="0" borderId="2" xfId="0" applyFont="1" applyBorder="1" applyAlignment="1">
      <alignment horizontal="justify" vertical="center" wrapText="1"/>
    </xf>
    <xf numFmtId="0" fontId="6" fillId="4" borderId="10"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7" fillId="0" borderId="38"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24"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23" xfId="0" applyFont="1" applyBorder="1" applyAlignment="1">
      <alignment horizontal="justify"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0" borderId="17" xfId="0" applyFont="1" applyBorder="1" applyAlignment="1">
      <alignment horizontal="justify" vertical="center" wrapText="1"/>
    </xf>
    <xf numFmtId="0" fontId="3" fillId="0" borderId="38" xfId="0" applyFont="1" applyBorder="1" applyAlignment="1">
      <alignment horizontal="justify" vertical="center" wrapText="1"/>
    </xf>
    <xf numFmtId="1" fontId="3" fillId="2" borderId="15" xfId="0" applyNumberFormat="1" applyFont="1" applyFill="1" applyBorder="1" applyAlignment="1">
      <alignment horizontal="center" vertical="center"/>
    </xf>
    <xf numFmtId="0" fontId="7" fillId="2" borderId="17" xfId="0" applyFont="1" applyFill="1" applyBorder="1" applyAlignment="1">
      <alignment horizontal="justify" vertical="center" wrapText="1"/>
    </xf>
    <xf numFmtId="0" fontId="7" fillId="0" borderId="2" xfId="0" applyFont="1" applyBorder="1" applyAlignment="1">
      <alignment horizontal="justify" vertical="center" wrapText="1"/>
    </xf>
    <xf numFmtId="0" fontId="3" fillId="0" borderId="2" xfId="0" applyFont="1" applyBorder="1" applyAlignment="1">
      <alignment horizontal="center" vertical="center" wrapText="1"/>
    </xf>
    <xf numFmtId="167" fontId="3" fillId="0" borderId="17" xfId="0" applyNumberFormat="1" applyFont="1" applyFill="1" applyBorder="1" applyAlignment="1">
      <alignment horizontal="center" vertical="center"/>
    </xf>
    <xf numFmtId="0" fontId="3" fillId="2" borderId="17"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7" fillId="2" borderId="17" xfId="0" applyFont="1" applyFill="1" applyBorder="1" applyAlignment="1">
      <alignment horizontal="center" vertical="center" wrapText="1"/>
    </xf>
    <xf numFmtId="0" fontId="3" fillId="2" borderId="17" xfId="0" applyFont="1" applyFill="1" applyBorder="1" applyAlignment="1">
      <alignment horizontal="center" vertical="center"/>
    </xf>
    <xf numFmtId="9" fontId="3" fillId="2" borderId="17" xfId="3" applyFont="1" applyFill="1" applyBorder="1" applyAlignment="1">
      <alignment horizontal="center" vertical="center"/>
    </xf>
    <xf numFmtId="0" fontId="7" fillId="0" borderId="17" xfId="0" applyFont="1" applyFill="1" applyBorder="1" applyAlignment="1">
      <alignment horizontal="justify" vertical="center" wrapText="1"/>
    </xf>
    <xf numFmtId="14" fontId="3" fillId="2" borderId="17" xfId="0" applyNumberFormat="1" applyFont="1" applyFill="1" applyBorder="1" applyAlignment="1">
      <alignment horizontal="center" vertical="center"/>
    </xf>
    <xf numFmtId="0" fontId="7" fillId="0" borderId="38"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3"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6" borderId="14" xfId="0" applyFont="1" applyFill="1" applyBorder="1" applyAlignment="1">
      <alignment horizontal="left" vertical="center" wrapText="1"/>
    </xf>
    <xf numFmtId="1" fontId="3" fillId="2" borderId="17" xfId="0" applyNumberFormat="1" applyFont="1" applyFill="1" applyBorder="1" applyAlignment="1">
      <alignment horizontal="center" vertical="center"/>
    </xf>
    <xf numFmtId="0" fontId="3" fillId="0" borderId="17" xfId="0" applyFont="1" applyFill="1" applyBorder="1" applyAlignment="1">
      <alignment horizontal="justify" vertical="center" wrapText="1"/>
    </xf>
    <xf numFmtId="0" fontId="7" fillId="2" borderId="9"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3" fillId="0" borderId="2" xfId="0" applyFont="1" applyFill="1" applyBorder="1" applyAlignment="1">
      <alignment horizontal="center" vertical="center"/>
    </xf>
    <xf numFmtId="0" fontId="7" fillId="0" borderId="1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3" fillId="2" borderId="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167" fontId="3" fillId="0" borderId="2" xfId="0" applyNumberFormat="1" applyFont="1" applyBorder="1" applyAlignment="1">
      <alignment horizontal="center" vertical="center"/>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9" fontId="3" fillId="0" borderId="2" xfId="3" applyFont="1" applyFill="1" applyBorder="1" applyAlignment="1">
      <alignment horizontal="center" vertical="center"/>
    </xf>
    <xf numFmtId="0" fontId="6" fillId="0" borderId="6" xfId="0" applyFont="1" applyBorder="1" applyAlignment="1">
      <alignment horizontal="center" vertical="center"/>
    </xf>
    <xf numFmtId="0" fontId="15" fillId="0" borderId="2" xfId="0" applyFont="1" applyFill="1" applyBorder="1" applyAlignment="1">
      <alignment vertical="center"/>
    </xf>
    <xf numFmtId="0" fontId="15" fillId="0" borderId="2" xfId="0" applyFont="1" applyFill="1" applyBorder="1" applyAlignment="1">
      <alignment horizontal="justify" vertical="center"/>
    </xf>
    <xf numFmtId="0" fontId="15" fillId="0" borderId="2" xfId="0" applyFont="1" applyFill="1" applyBorder="1" applyAlignment="1">
      <alignment horizontal="left" vertical="center"/>
    </xf>
    <xf numFmtId="0" fontId="15" fillId="0" borderId="2" xfId="0" applyFont="1" applyFill="1" applyBorder="1" applyAlignment="1">
      <alignment horizontal="justify" vertical="center" wrapText="1"/>
    </xf>
    <xf numFmtId="3" fontId="17" fillId="0" borderId="2" xfId="0" applyNumberFormat="1" applyFont="1" applyFill="1" applyBorder="1" applyAlignment="1">
      <alignment horizontal="justify" vertical="center" wrapText="1"/>
    </xf>
    <xf numFmtId="0" fontId="2" fillId="0" borderId="3" xfId="0" applyFont="1" applyBorder="1" applyAlignment="1">
      <alignment horizontal="justify" vertical="center"/>
    </xf>
    <xf numFmtId="9" fontId="2" fillId="0" borderId="3" xfId="3" applyFont="1" applyBorder="1" applyAlignment="1">
      <alignment horizontal="center" vertical="center"/>
    </xf>
    <xf numFmtId="0" fontId="3" fillId="0" borderId="3" xfId="0" applyFont="1" applyBorder="1" applyAlignment="1">
      <alignment horizontal="justify" vertical="center"/>
    </xf>
    <xf numFmtId="0" fontId="2" fillId="0" borderId="4" xfId="0" applyFont="1" applyBorder="1" applyAlignment="1">
      <alignment horizontal="justify" vertical="center"/>
    </xf>
    <xf numFmtId="1" fontId="2" fillId="12" borderId="9" xfId="0" applyNumberFormat="1" applyFont="1" applyFill="1" applyBorder="1" applyAlignment="1">
      <alignment horizontal="center" vertical="center" wrapText="1"/>
    </xf>
    <xf numFmtId="1" fontId="2" fillId="12" borderId="14" xfId="0" applyNumberFormat="1" applyFont="1" applyFill="1" applyBorder="1" applyAlignment="1">
      <alignment horizontal="center" vertical="center" wrapText="1"/>
    </xf>
    <xf numFmtId="0" fontId="2" fillId="12" borderId="9" xfId="0" applyFont="1" applyFill="1" applyBorder="1" applyAlignment="1">
      <alignment horizontal="center" vertical="center" textRotation="90" wrapText="1"/>
    </xf>
    <xf numFmtId="49" fontId="2" fillId="12" borderId="9" xfId="0" applyNumberFormat="1" applyFont="1" applyFill="1" applyBorder="1" applyAlignment="1">
      <alignment horizontal="center" vertical="center" textRotation="90" wrapText="1"/>
    </xf>
    <xf numFmtId="0" fontId="2" fillId="12" borderId="8" xfId="0" applyFont="1" applyFill="1" applyBorder="1" applyAlignment="1">
      <alignment horizontal="center" vertical="center" textRotation="90" wrapText="1"/>
    </xf>
    <xf numFmtId="0" fontId="7" fillId="5" borderId="3" xfId="0" applyFont="1" applyFill="1" applyBorder="1" applyAlignment="1">
      <alignment horizontal="center" vertical="center"/>
    </xf>
    <xf numFmtId="0" fontId="7" fillId="5" borderId="12" xfId="0" applyFont="1" applyFill="1" applyBorder="1" applyAlignment="1">
      <alignment horizontal="justify" vertical="center"/>
    </xf>
    <xf numFmtId="0" fontId="7" fillId="6" borderId="5" xfId="0" applyFont="1" applyFill="1" applyBorder="1" applyAlignment="1">
      <alignment horizontal="center" vertical="center"/>
    </xf>
    <xf numFmtId="0" fontId="6" fillId="6" borderId="5" xfId="0" applyFont="1" applyFill="1" applyBorder="1" applyAlignment="1">
      <alignment horizontal="center" vertical="center"/>
    </xf>
    <xf numFmtId="173" fontId="6" fillId="6" borderId="11" xfId="10" applyFont="1" applyFill="1" applyBorder="1" applyAlignment="1">
      <alignment horizontal="justify" vertical="center"/>
    </xf>
    <xf numFmtId="173" fontId="6" fillId="6" borderId="11" xfId="7" applyFont="1" applyFill="1" applyBorder="1" applyAlignment="1">
      <alignment horizontal="center" vertical="center" wrapText="1"/>
    </xf>
    <xf numFmtId="173" fontId="6" fillId="6" borderId="12" xfId="10" applyFont="1" applyFill="1" applyBorder="1" applyAlignment="1">
      <alignment horizontal="justify" vertical="center"/>
    </xf>
    <xf numFmtId="0" fontId="3" fillId="0" borderId="8" xfId="0" applyFont="1" applyBorder="1"/>
    <xf numFmtId="0" fontId="3" fillId="0" borderId="5" xfId="0" applyFont="1" applyBorder="1" applyAlignment="1">
      <alignment horizontal="center"/>
    </xf>
    <xf numFmtId="0" fontId="3" fillId="2" borderId="7" xfId="0" applyFont="1" applyFill="1" applyBorder="1" applyAlignment="1">
      <alignment horizontal="center" vertical="center" wrapText="1"/>
    </xf>
    <xf numFmtId="169" fontId="7" fillId="0" borderId="10" xfId="5" applyFont="1" applyFill="1" applyBorder="1" applyAlignment="1">
      <alignment horizontal="justify" vertical="center" wrapText="1"/>
    </xf>
    <xf numFmtId="0" fontId="6" fillId="0" borderId="13" xfId="0" applyFont="1" applyBorder="1" applyAlignment="1">
      <alignment horizontal="center" vertical="center" wrapText="1"/>
    </xf>
    <xf numFmtId="0" fontId="3" fillId="0" borderId="13" xfId="0" applyFont="1" applyBorder="1"/>
    <xf numFmtId="0" fontId="18" fillId="0" borderId="2" xfId="0" applyFont="1" applyFill="1" applyBorder="1" applyAlignment="1">
      <alignment vertical="center" wrapText="1"/>
    </xf>
    <xf numFmtId="173" fontId="7" fillId="0" borderId="2" xfId="7" applyFont="1" applyBorder="1" applyAlignment="1">
      <alignment vertical="center"/>
    </xf>
    <xf numFmtId="0" fontId="32" fillId="0" borderId="17" xfId="0" applyFont="1" applyFill="1" applyBorder="1" applyAlignment="1">
      <alignment horizontal="center" vertical="center" wrapText="1"/>
    </xf>
    <xf numFmtId="0" fontId="3" fillId="0" borderId="12" xfId="0" applyFont="1" applyBorder="1" applyAlignment="1">
      <alignment horizontal="justify" vertical="center" wrapText="1"/>
    </xf>
    <xf numFmtId="0" fontId="3" fillId="2" borderId="10" xfId="0" applyFont="1" applyFill="1" applyBorder="1" applyAlignment="1">
      <alignment horizontal="justify" vertical="center" wrapText="1"/>
    </xf>
    <xf numFmtId="0" fontId="18" fillId="0" borderId="15" xfId="0" applyFont="1" applyFill="1" applyBorder="1" applyAlignment="1">
      <alignment vertical="center" wrapText="1"/>
    </xf>
    <xf numFmtId="173" fontId="3" fillId="2" borderId="2" xfId="7" applyFont="1" applyFill="1" applyBorder="1" applyAlignment="1">
      <alignment horizontal="center" vertical="center"/>
    </xf>
    <xf numFmtId="0" fontId="32" fillId="0" borderId="15" xfId="0" applyFont="1" applyFill="1" applyBorder="1" applyAlignment="1">
      <alignment horizontal="center" vertical="center" wrapText="1"/>
    </xf>
    <xf numFmtId="49" fontId="3" fillId="2" borderId="15" xfId="0" applyNumberFormat="1" applyFont="1" applyFill="1" applyBorder="1" applyAlignment="1">
      <alignment horizontal="center" vertical="center"/>
    </xf>
    <xf numFmtId="0" fontId="3" fillId="0" borderId="10" xfId="0" applyFont="1" applyBorder="1"/>
    <xf numFmtId="0" fontId="3" fillId="0" borderId="12" xfId="0" applyFont="1" applyBorder="1"/>
    <xf numFmtId="0" fontId="3" fillId="2" borderId="12" xfId="0" applyFont="1" applyFill="1" applyBorder="1" applyAlignment="1">
      <alignment vertical="center"/>
    </xf>
    <xf numFmtId="0" fontId="3" fillId="2" borderId="2" xfId="0" applyFont="1" applyFill="1" applyBorder="1" applyAlignment="1">
      <alignment horizontal="justify"/>
    </xf>
    <xf numFmtId="173" fontId="2" fillId="0" borderId="2" xfId="0" applyNumberFormat="1" applyFont="1" applyFill="1" applyBorder="1" applyAlignment="1">
      <alignment horizontal="center" vertical="center"/>
    </xf>
    <xf numFmtId="167" fontId="3" fillId="0" borderId="2" xfId="0" applyNumberFormat="1" applyFont="1" applyFill="1" applyBorder="1" applyAlignment="1">
      <alignment horizontal="right" vertical="center"/>
    </xf>
    <xf numFmtId="1" fontId="3" fillId="0" borderId="0" xfId="0" applyNumberFormat="1" applyFont="1" applyBorder="1"/>
    <xf numFmtId="0" fontId="3" fillId="2" borderId="0" xfId="0" applyFont="1" applyFill="1" applyBorder="1" applyAlignment="1">
      <alignment vertical="center"/>
    </xf>
    <xf numFmtId="0" fontId="3" fillId="2" borderId="0" xfId="0" applyFont="1" applyFill="1" applyBorder="1" applyAlignment="1">
      <alignment horizontal="justify"/>
    </xf>
    <xf numFmtId="0" fontId="3" fillId="2" borderId="0" xfId="0" applyFont="1" applyFill="1" applyBorder="1" applyAlignment="1">
      <alignment horizontal="justify" vertical="center"/>
    </xf>
    <xf numFmtId="9" fontId="3" fillId="2" borderId="0" xfId="3" applyFont="1" applyFill="1" applyBorder="1" applyAlignment="1">
      <alignment horizontal="center" vertical="center"/>
    </xf>
    <xf numFmtId="173" fontId="2" fillId="0" borderId="0" xfId="0" applyNumberFormat="1" applyFont="1" applyFill="1" applyBorder="1" applyAlignment="1">
      <alignment horizontal="center" vertical="center"/>
    </xf>
    <xf numFmtId="1" fontId="3" fillId="2" borderId="0" xfId="0" applyNumberFormat="1" applyFont="1" applyFill="1" applyBorder="1" applyAlignment="1">
      <alignment horizontal="center" vertical="center"/>
    </xf>
    <xf numFmtId="167" fontId="3" fillId="0" borderId="0" xfId="0" applyNumberFormat="1" applyFont="1" applyFill="1" applyBorder="1" applyAlignment="1">
      <alignment horizontal="right" vertical="center"/>
    </xf>
    <xf numFmtId="167" fontId="3" fillId="0" borderId="0" xfId="0" applyNumberFormat="1" applyFont="1" applyBorder="1" applyAlignment="1">
      <alignment horizontal="center"/>
    </xf>
    <xf numFmtId="0" fontId="3" fillId="0" borderId="0" xfId="0" applyFont="1" applyBorder="1" applyAlignment="1">
      <alignment horizontal="justify" vertical="center"/>
    </xf>
    <xf numFmtId="166" fontId="3" fillId="2" borderId="0" xfId="0" applyNumberFormat="1" applyFont="1" applyFill="1" applyAlignment="1">
      <alignment horizontal="center" vertical="center"/>
    </xf>
    <xf numFmtId="167" fontId="3" fillId="0" borderId="0" xfId="0" applyNumberFormat="1" applyFont="1" applyFill="1" applyAlignment="1">
      <alignment horizontal="right" vertical="center"/>
    </xf>
    <xf numFmtId="0" fontId="3" fillId="2" borderId="3" xfId="0" applyFont="1" applyFill="1" applyBorder="1" applyAlignment="1">
      <alignment vertical="center"/>
    </xf>
    <xf numFmtId="0" fontId="2" fillId="0" borderId="0" xfId="0" applyFont="1" applyBorder="1" applyAlignment="1"/>
    <xf numFmtId="0" fontId="2" fillId="0" borderId="0" xfId="0" applyFont="1" applyBorder="1" applyAlignment="1">
      <alignment horizontal="center"/>
    </xf>
    <xf numFmtId="0" fontId="2" fillId="0" borderId="0" xfId="0" applyFont="1" applyAlignment="1">
      <alignment horizontal="center"/>
    </xf>
    <xf numFmtId="0" fontId="33" fillId="0" borderId="0" xfId="0" applyFont="1" applyAlignment="1">
      <alignment horizontal="center"/>
    </xf>
    <xf numFmtId="1" fontId="2" fillId="0" borderId="0" xfId="0" applyNumberFormat="1" applyFont="1" applyAlignment="1"/>
    <xf numFmtId="0" fontId="34" fillId="0" borderId="0" xfId="0" applyFont="1" applyAlignment="1">
      <alignment horizontal="center"/>
    </xf>
    <xf numFmtId="1" fontId="15" fillId="0" borderId="0" xfId="0" applyNumberFormat="1" applyFont="1"/>
    <xf numFmtId="0" fontId="15" fillId="0" borderId="0" xfId="0" applyFont="1"/>
    <xf numFmtId="0" fontId="6" fillId="0" borderId="3" xfId="0" applyFont="1" applyBorder="1" applyAlignment="1">
      <alignment horizontal="center" vertical="center"/>
    </xf>
    <xf numFmtId="1" fontId="2" fillId="3" borderId="9" xfId="0" applyNumberFormat="1"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2" xfId="0" applyFont="1" applyBorder="1" applyAlignment="1">
      <alignment horizontal="justify" vertical="center" wrapText="1"/>
    </xf>
    <xf numFmtId="0" fontId="6" fillId="4" borderId="11" xfId="0"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0" fontId="2" fillId="2" borderId="0" xfId="0" applyFont="1" applyFill="1" applyAlignment="1">
      <alignment horizontal="center"/>
    </xf>
    <xf numFmtId="1" fontId="3" fillId="2" borderId="17"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167" fontId="3" fillId="0" borderId="15"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7" fillId="2" borderId="15"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3" fillId="2" borderId="15" xfId="0" applyFont="1" applyFill="1" applyBorder="1" applyAlignment="1">
      <alignment horizontal="center" vertical="center"/>
    </xf>
    <xf numFmtId="0" fontId="7" fillId="0" borderId="2" xfId="0" applyFont="1" applyFill="1" applyBorder="1" applyAlignment="1">
      <alignment horizontal="justify" vertical="center" wrapText="1"/>
    </xf>
    <xf numFmtId="0" fontId="3"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38" xfId="0" applyFont="1" applyFill="1" applyBorder="1" applyAlignment="1">
      <alignment horizontal="justify" vertical="center" wrapText="1"/>
    </xf>
    <xf numFmtId="0" fontId="6" fillId="0" borderId="6" xfId="0" applyFont="1" applyBorder="1" applyAlignment="1">
      <alignment horizontal="center" vertical="center"/>
    </xf>
    <xf numFmtId="0" fontId="2" fillId="3" borderId="9" xfId="0" applyFont="1" applyFill="1" applyBorder="1" applyAlignment="1">
      <alignment horizontal="center" vertical="center" textRotation="90" wrapText="1"/>
    </xf>
    <xf numFmtId="49" fontId="2" fillId="3" borderId="9" xfId="0" applyNumberFormat="1" applyFont="1" applyFill="1" applyBorder="1" applyAlignment="1">
      <alignment horizontal="center" vertical="center" textRotation="90" wrapText="1"/>
    </xf>
    <xf numFmtId="0" fontId="3" fillId="0" borderId="0" xfId="0" applyFont="1" applyFill="1" applyBorder="1" applyAlignment="1">
      <alignment horizontal="center" vertical="center" wrapText="1"/>
    </xf>
    <xf numFmtId="0" fontId="6" fillId="0" borderId="6" xfId="0" applyFont="1" applyBorder="1" applyAlignment="1">
      <alignment horizontal="justify" vertical="center" wrapText="1"/>
    </xf>
    <xf numFmtId="0" fontId="6" fillId="0" borderId="3" xfId="0" applyFont="1" applyBorder="1" applyAlignment="1">
      <alignment horizontal="justify" vertical="center" wrapText="1"/>
    </xf>
    <xf numFmtId="173" fontId="7" fillId="0" borderId="3" xfId="7" applyFont="1" applyBorder="1" applyAlignment="1">
      <alignment horizontal="right" vertical="center"/>
    </xf>
    <xf numFmtId="0" fontId="6" fillId="0" borderId="3" xfId="0" applyFont="1" applyBorder="1" applyAlignment="1">
      <alignment horizontal="center" vertical="center" wrapText="1"/>
    </xf>
    <xf numFmtId="0" fontId="6" fillId="5" borderId="10" xfId="0" applyFont="1" applyFill="1" applyBorder="1" applyAlignment="1">
      <alignment horizontal="left" vertical="center" wrapText="1"/>
    </xf>
    <xf numFmtId="0" fontId="6" fillId="5" borderId="11" xfId="0" applyFont="1" applyFill="1" applyBorder="1" applyAlignment="1">
      <alignment horizontal="left" vertical="center"/>
    </xf>
    <xf numFmtId="0" fontId="6" fillId="5" borderId="12" xfId="0" applyFont="1" applyFill="1" applyBorder="1" applyAlignment="1">
      <alignment horizontal="center" vertical="center"/>
    </xf>
    <xf numFmtId="0" fontId="7" fillId="5" borderId="11" xfId="0" applyFont="1" applyFill="1" applyBorder="1" applyAlignment="1">
      <alignment horizontal="right" vertical="center"/>
    </xf>
    <xf numFmtId="0" fontId="7" fillId="5" borderId="11" xfId="0" applyFont="1" applyFill="1" applyBorder="1" applyAlignment="1">
      <alignment horizontal="center" vertical="center" wrapText="1"/>
    </xf>
    <xf numFmtId="0" fontId="6" fillId="0" borderId="0" xfId="0" applyFont="1" applyAlignment="1">
      <alignment horizontal="left" vertical="center" wrapText="1"/>
    </xf>
    <xf numFmtId="0" fontId="6" fillId="6" borderId="8" xfId="0" applyFont="1" applyFill="1" applyBorder="1" applyAlignment="1">
      <alignment horizontal="left" vertical="center" wrapText="1"/>
    </xf>
    <xf numFmtId="9" fontId="6" fillId="6" borderId="5" xfId="3" applyFont="1" applyFill="1" applyBorder="1" applyAlignment="1">
      <alignment horizontal="center" vertical="center"/>
    </xf>
    <xf numFmtId="173" fontId="6" fillId="6" borderId="5" xfId="10" applyFont="1" applyFill="1" applyBorder="1" applyAlignment="1">
      <alignment horizontal="right" vertical="center"/>
    </xf>
    <xf numFmtId="0" fontId="6" fillId="6" borderId="11" xfId="0" applyFont="1" applyFill="1" applyBorder="1" applyAlignment="1">
      <alignment horizontal="right" vertical="center" wrapText="1"/>
    </xf>
    <xf numFmtId="0" fontId="6" fillId="6" borderId="11" xfId="10" applyNumberFormat="1" applyFont="1" applyFill="1" applyBorder="1" applyAlignment="1">
      <alignment horizontal="center" vertical="center" wrapText="1"/>
    </xf>
    <xf numFmtId="173" fontId="6" fillId="6" borderId="5" xfId="1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173" fontId="7" fillId="0" borderId="17" xfId="7" applyFont="1" applyFill="1" applyBorder="1" applyAlignment="1">
      <alignment horizontal="center" vertical="center" wrapText="1"/>
    </xf>
    <xf numFmtId="173" fontId="18" fillId="0" borderId="9" xfId="11" applyNumberFormat="1" applyFont="1" applyFill="1" applyBorder="1" applyAlignment="1">
      <alignment horizontal="right" vertical="center"/>
    </xf>
    <xf numFmtId="0" fontId="3" fillId="0" borderId="8" xfId="7" applyNumberFormat="1" applyFont="1" applyFill="1" applyBorder="1" applyAlignment="1">
      <alignment horizontal="center" vertical="center" wrapText="1"/>
    </xf>
    <xf numFmtId="173" fontId="3" fillId="0" borderId="17" xfId="7" applyFont="1" applyFill="1" applyBorder="1" applyAlignment="1">
      <alignment vertical="center" wrapText="1"/>
    </xf>
    <xf numFmtId="0" fontId="3" fillId="0" borderId="13" xfId="0" applyFont="1" applyFill="1" applyBorder="1" applyAlignment="1">
      <alignment horizontal="center" vertical="center" wrapText="1"/>
    </xf>
    <xf numFmtId="173" fontId="18" fillId="0" borderId="17" xfId="11" applyNumberFormat="1" applyFont="1" applyFill="1" applyBorder="1" applyAlignment="1">
      <alignment horizontal="right" vertical="center"/>
    </xf>
    <xf numFmtId="0" fontId="3" fillId="0" borderId="9" xfId="7" applyNumberFormat="1" applyFont="1" applyFill="1" applyBorder="1" applyAlignment="1">
      <alignment horizontal="center" vertical="center" wrapText="1"/>
    </xf>
    <xf numFmtId="173" fontId="18" fillId="0" borderId="24" xfId="11" applyNumberFormat="1" applyFont="1" applyFill="1" applyBorder="1" applyAlignment="1">
      <alignment horizontal="right" vertical="center"/>
    </xf>
    <xf numFmtId="0" fontId="18" fillId="0" borderId="2" xfId="0" applyFont="1" applyFill="1" applyBorder="1" applyAlignment="1">
      <alignment horizontal="justify" vertical="center" wrapText="1"/>
    </xf>
    <xf numFmtId="173" fontId="18" fillId="0" borderId="15" xfId="11" applyNumberFormat="1" applyFont="1" applyFill="1" applyBorder="1" applyAlignment="1">
      <alignment horizontal="right" vertical="center"/>
    </xf>
    <xf numFmtId="0" fontId="3" fillId="0" borderId="7" xfId="7" applyNumberFormat="1" applyFont="1" applyFill="1" applyBorder="1" applyAlignment="1">
      <alignment horizontal="center" vertical="center" wrapText="1"/>
    </xf>
    <xf numFmtId="0" fontId="18" fillId="0" borderId="15" xfId="0" applyFont="1" applyFill="1" applyBorder="1" applyAlignment="1">
      <alignment horizontal="justify" vertical="center" wrapText="1"/>
    </xf>
    <xf numFmtId="173" fontId="18" fillId="0" borderId="2" xfId="11" applyNumberFormat="1" applyFont="1" applyFill="1" applyBorder="1" applyAlignment="1">
      <alignment horizontal="right" vertical="center"/>
    </xf>
    <xf numFmtId="0" fontId="3" fillId="0" borderId="6" xfId="0" applyFont="1" applyFill="1" applyBorder="1" applyAlignment="1">
      <alignment horizontal="center" vertical="center" wrapText="1"/>
    </xf>
    <xf numFmtId="173" fontId="36" fillId="0" borderId="15" xfId="11" applyNumberFormat="1" applyFont="1" applyFill="1" applyBorder="1" applyAlignment="1">
      <alignment horizontal="right" vertical="center"/>
    </xf>
    <xf numFmtId="173" fontId="3" fillId="0" borderId="9" xfId="7" applyFont="1" applyFill="1" applyBorder="1" applyAlignment="1">
      <alignment vertical="center" wrapText="1"/>
    </xf>
    <xf numFmtId="0" fontId="6" fillId="6" borderId="13" xfId="0" applyFont="1" applyFill="1" applyBorder="1" applyAlignment="1">
      <alignment horizontal="left" vertical="center" wrapText="1"/>
    </xf>
    <xf numFmtId="0" fontId="6" fillId="6" borderId="0" xfId="0" applyFont="1" applyFill="1" applyAlignment="1">
      <alignment horizontal="left" vertical="center"/>
    </xf>
    <xf numFmtId="0" fontId="3" fillId="6" borderId="14"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justify" vertical="center" wrapText="1"/>
    </xf>
    <xf numFmtId="9" fontId="3" fillId="6" borderId="0" xfId="3" applyFont="1" applyFill="1" applyBorder="1" applyAlignment="1">
      <alignment horizontal="center" vertical="center" wrapText="1"/>
    </xf>
    <xf numFmtId="173" fontId="3" fillId="6" borderId="0" xfId="7" applyFont="1" applyFill="1" applyBorder="1" applyAlignment="1">
      <alignment horizontal="center" vertical="center" wrapText="1"/>
    </xf>
    <xf numFmtId="173" fontId="3" fillId="6" borderId="5" xfId="11" applyNumberFormat="1" applyFont="1" applyFill="1" applyBorder="1" applyAlignment="1">
      <alignment horizontal="right" vertical="center" wrapText="1"/>
    </xf>
    <xf numFmtId="0" fontId="7" fillId="0" borderId="29" xfId="0" applyFont="1" applyFill="1" applyBorder="1" applyAlignment="1">
      <alignment horizontal="justify" vertical="center" wrapText="1"/>
    </xf>
    <xf numFmtId="173" fontId="7" fillId="0" borderId="17" xfId="11" applyNumberFormat="1" applyFont="1" applyFill="1" applyBorder="1" applyAlignment="1">
      <alignment horizontal="right" vertical="center" wrapText="1"/>
    </xf>
    <xf numFmtId="0" fontId="7" fillId="0" borderId="17" xfId="7" applyNumberFormat="1" applyFont="1" applyFill="1" applyBorder="1" applyAlignment="1">
      <alignment horizontal="center" vertical="center" wrapText="1"/>
    </xf>
    <xf numFmtId="173" fontId="7" fillId="0" borderId="17" xfId="7" applyFont="1" applyFill="1" applyBorder="1" applyAlignment="1">
      <alignment vertical="center" wrapText="1"/>
    </xf>
    <xf numFmtId="0" fontId="7" fillId="0" borderId="39" xfId="0" applyFont="1" applyFill="1" applyBorder="1" applyAlignment="1">
      <alignment horizontal="justify" vertical="center" wrapText="1"/>
    </xf>
    <xf numFmtId="173" fontId="7" fillId="0" borderId="38" xfId="11" applyNumberFormat="1" applyFont="1" applyFill="1" applyBorder="1" applyAlignment="1">
      <alignment horizontal="right" vertical="center" wrapText="1"/>
    </xf>
    <xf numFmtId="0" fontId="7" fillId="0" borderId="38" xfId="7"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9" fontId="6" fillId="6" borderId="3" xfId="3" applyFont="1" applyFill="1" applyBorder="1" applyAlignment="1">
      <alignment horizontal="center" vertical="center"/>
    </xf>
    <xf numFmtId="173" fontId="6" fillId="6" borderId="3" xfId="7" applyFont="1" applyFill="1" applyBorder="1" applyAlignment="1">
      <alignment horizontal="center" vertical="center"/>
    </xf>
    <xf numFmtId="0" fontId="6" fillId="6" borderId="17" xfId="0" applyFont="1" applyFill="1" applyBorder="1" applyAlignment="1">
      <alignment horizontal="justify" vertical="center" wrapText="1"/>
    </xf>
    <xf numFmtId="173" fontId="6" fillId="6" borderId="17" xfId="11" applyNumberFormat="1" applyFont="1" applyFill="1" applyBorder="1" applyAlignment="1">
      <alignment horizontal="right" vertical="center"/>
    </xf>
    <xf numFmtId="0" fontId="6" fillId="6" borderId="17" xfId="7" applyNumberFormat="1" applyFont="1" applyFill="1" applyBorder="1" applyAlignment="1">
      <alignment horizontal="center" vertical="center" wrapText="1"/>
    </xf>
    <xf numFmtId="173" fontId="6" fillId="6" borderId="0" xfId="7" applyFont="1" applyFill="1" applyBorder="1" applyAlignment="1">
      <alignment horizontal="center" vertical="center" wrapText="1"/>
    </xf>
    <xf numFmtId="0" fontId="6" fillId="6"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173" fontId="3" fillId="0" borderId="17" xfId="11" applyNumberFormat="1" applyFont="1" applyFill="1" applyBorder="1" applyAlignment="1">
      <alignment horizontal="right" vertical="center" wrapText="1"/>
    </xf>
    <xf numFmtId="0" fontId="3" fillId="0" borderId="17" xfId="7" applyNumberFormat="1" applyFont="1" applyFill="1" applyBorder="1" applyAlignment="1">
      <alignment horizontal="center" vertical="center" wrapText="1"/>
    </xf>
    <xf numFmtId="173" fontId="3" fillId="0" borderId="30" xfId="7" applyFont="1" applyFill="1" applyBorder="1" applyAlignment="1">
      <alignment vertical="center" wrapText="1"/>
    </xf>
    <xf numFmtId="0" fontId="3" fillId="2" borderId="13" xfId="0" applyFont="1" applyFill="1" applyBorder="1" applyAlignment="1">
      <alignment horizontal="center" vertical="center" wrapText="1"/>
    </xf>
    <xf numFmtId="173" fontId="3" fillId="2" borderId="17" xfId="11" applyNumberFormat="1" applyFont="1" applyFill="1" applyBorder="1" applyAlignment="1">
      <alignment horizontal="right" vertical="center" wrapText="1"/>
    </xf>
    <xf numFmtId="173" fontId="3" fillId="0" borderId="38" xfId="11" applyNumberFormat="1" applyFont="1" applyFill="1" applyBorder="1" applyAlignment="1">
      <alignment horizontal="right" vertical="center" wrapText="1"/>
    </xf>
    <xf numFmtId="0" fontId="3" fillId="0" borderId="38" xfId="7" applyNumberFormat="1" applyFont="1" applyFill="1" applyBorder="1" applyAlignment="1">
      <alignment horizontal="center" vertical="center" wrapText="1"/>
    </xf>
    <xf numFmtId="173" fontId="3" fillId="0" borderId="4" xfId="11" applyNumberFormat="1" applyFont="1" applyFill="1" applyBorder="1" applyAlignment="1">
      <alignment horizontal="right" vertical="center" wrapText="1"/>
    </xf>
    <xf numFmtId="0" fontId="3" fillId="0" borderId="15" xfId="7" applyNumberFormat="1" applyFont="1" applyFill="1" applyBorder="1" applyAlignment="1">
      <alignment horizontal="center" vertical="center" wrapText="1"/>
    </xf>
    <xf numFmtId="173" fontId="3" fillId="0" borderId="12" xfId="11" applyNumberFormat="1" applyFont="1" applyFill="1" applyBorder="1" applyAlignment="1">
      <alignment horizontal="right" vertical="center" wrapText="1"/>
    </xf>
    <xf numFmtId="173" fontId="18" fillId="0" borderId="2" xfId="11" applyNumberFormat="1" applyFont="1" applyFill="1" applyBorder="1" applyAlignment="1">
      <alignment horizontal="right" vertical="center" wrapText="1"/>
    </xf>
    <xf numFmtId="173" fontId="18" fillId="0" borderId="9" xfId="11" applyNumberFormat="1" applyFont="1" applyFill="1" applyBorder="1" applyAlignment="1">
      <alignment horizontal="right" vertical="center" wrapText="1"/>
    </xf>
    <xf numFmtId="173" fontId="18" fillId="0" borderId="17" xfId="11" applyNumberFormat="1" applyFont="1" applyFill="1" applyBorder="1" applyAlignment="1">
      <alignment horizontal="right" vertical="center" wrapText="1"/>
    </xf>
    <xf numFmtId="173" fontId="3" fillId="0" borderId="38" xfId="11" applyNumberFormat="1" applyFont="1" applyFill="1" applyBorder="1" applyAlignment="1">
      <alignment horizontal="right" vertical="center"/>
    </xf>
    <xf numFmtId="173" fontId="3" fillId="0" borderId="17" xfId="11" applyNumberFormat="1" applyFont="1" applyFill="1" applyBorder="1" applyAlignment="1">
      <alignment horizontal="right" vertical="center"/>
    </xf>
    <xf numFmtId="1" fontId="3" fillId="0" borderId="0" xfId="0" applyNumberFormat="1" applyFont="1" applyFill="1"/>
    <xf numFmtId="0" fontId="18" fillId="0" borderId="17" xfId="0" applyFont="1" applyFill="1" applyBorder="1" applyAlignment="1">
      <alignment horizontal="justify" vertical="center" wrapText="1"/>
    </xf>
    <xf numFmtId="173" fontId="3" fillId="0" borderId="6" xfId="11" applyNumberFormat="1" applyFont="1" applyFill="1" applyBorder="1" applyAlignment="1">
      <alignment horizontal="right" vertical="center"/>
    </xf>
    <xf numFmtId="173" fontId="3" fillId="0" borderId="13" xfId="11" applyNumberFormat="1" applyFont="1" applyFill="1" applyBorder="1" applyAlignment="1">
      <alignment horizontal="right" vertical="center"/>
    </xf>
    <xf numFmtId="173" fontId="3" fillId="0" borderId="2" xfId="11" applyNumberFormat="1" applyFont="1" applyFill="1" applyBorder="1" applyAlignment="1">
      <alignment horizontal="right" vertical="center"/>
    </xf>
    <xf numFmtId="0" fontId="7" fillId="0" borderId="2" xfId="7" applyNumberFormat="1" applyFont="1" applyFill="1" applyBorder="1" applyAlignment="1">
      <alignment horizontal="center" vertical="center" wrapText="1"/>
    </xf>
    <xf numFmtId="173" fontId="7" fillId="0" borderId="2" xfId="7" applyFont="1" applyFill="1" applyBorder="1" applyAlignment="1">
      <alignment vertical="center" wrapText="1"/>
    </xf>
    <xf numFmtId="0" fontId="0" fillId="9" borderId="0" xfId="0" applyFill="1"/>
    <xf numFmtId="0" fontId="3" fillId="0" borderId="2" xfId="7" applyNumberFormat="1" applyFont="1" applyFill="1" applyBorder="1" applyAlignment="1">
      <alignment horizontal="center" vertical="center" wrapText="1"/>
    </xf>
    <xf numFmtId="173" fontId="3" fillId="0" borderId="2" xfId="7" applyFont="1" applyFill="1" applyBorder="1" applyAlignment="1">
      <alignment vertical="center" wrapText="1"/>
    </xf>
    <xf numFmtId="0" fontId="3" fillId="0" borderId="13" xfId="0" applyFont="1" applyBorder="1" applyAlignment="1">
      <alignment horizontal="center"/>
    </xf>
    <xf numFmtId="0" fontId="3" fillId="0" borderId="1" xfId="0" applyFont="1" applyBorder="1" applyAlignment="1">
      <alignment horizontal="center"/>
    </xf>
    <xf numFmtId="173" fontId="3" fillId="0" borderId="24" xfId="11" applyNumberFormat="1" applyFont="1" applyFill="1" applyBorder="1" applyAlignment="1">
      <alignment horizontal="right" vertical="center"/>
    </xf>
    <xf numFmtId="0" fontId="3" fillId="0" borderId="24" xfId="7" applyNumberFormat="1" applyFont="1" applyFill="1" applyBorder="1" applyAlignment="1">
      <alignment horizontal="center" vertical="center" wrapText="1"/>
    </xf>
    <xf numFmtId="0" fontId="6" fillId="6" borderId="0" xfId="0" applyFont="1" applyFill="1" applyAlignment="1">
      <alignment horizontal="left" vertical="center" wrapText="1"/>
    </xf>
    <xf numFmtId="0" fontId="6" fillId="6" borderId="13" xfId="0" applyFont="1" applyFill="1" applyBorder="1" applyAlignment="1">
      <alignment horizontal="left" vertical="center"/>
    </xf>
    <xf numFmtId="0" fontId="3" fillId="6" borderId="0" xfId="0" applyFont="1" applyFill="1"/>
    <xf numFmtId="0" fontId="3" fillId="6" borderId="1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3" xfId="0" applyFont="1" applyFill="1" applyBorder="1" applyAlignment="1">
      <alignment horizontal="justify" vertical="center" wrapText="1"/>
    </xf>
    <xf numFmtId="0" fontId="3" fillId="6" borderId="11" xfId="0" applyFont="1" applyFill="1" applyBorder="1" applyAlignment="1">
      <alignment horizontal="center"/>
    </xf>
    <xf numFmtId="9" fontId="3" fillId="6" borderId="3" xfId="3" applyFont="1" applyFill="1" applyBorder="1" applyAlignment="1">
      <alignment horizontal="center" vertical="center"/>
    </xf>
    <xf numFmtId="173" fontId="3" fillId="6" borderId="3" xfId="7" applyFont="1" applyFill="1" applyBorder="1" applyAlignment="1">
      <alignment vertical="center"/>
    </xf>
    <xf numFmtId="173" fontId="3" fillId="6" borderId="3" xfId="11" applyNumberFormat="1" applyFont="1" applyFill="1" applyBorder="1" applyAlignment="1">
      <alignment horizontal="right" vertical="center"/>
    </xf>
    <xf numFmtId="0" fontId="3" fillId="6" borderId="3" xfId="7" applyNumberFormat="1" applyFont="1" applyFill="1" applyBorder="1" applyAlignment="1">
      <alignment horizontal="center" vertical="center" wrapText="1"/>
    </xf>
    <xf numFmtId="173" fontId="3" fillId="6" borderId="3" xfId="7" applyFont="1" applyFill="1" applyBorder="1" applyAlignment="1">
      <alignment vertical="center" wrapText="1"/>
    </xf>
    <xf numFmtId="0" fontId="3" fillId="6" borderId="3" xfId="0" applyFont="1" applyFill="1" applyBorder="1" applyAlignment="1">
      <alignment horizontal="center" vertical="center"/>
    </xf>
    <xf numFmtId="0" fontId="7" fillId="0" borderId="2" xfId="5" applyNumberFormat="1" applyFont="1" applyFill="1" applyBorder="1">
      <alignment horizontal="center" vertical="center" wrapText="1"/>
    </xf>
    <xf numFmtId="9" fontId="7" fillId="0" borderId="2" xfId="3" applyFont="1" applyFill="1" applyBorder="1" applyAlignment="1">
      <alignment horizontal="center" vertical="center" wrapText="1"/>
    </xf>
    <xf numFmtId="173" fontId="7" fillId="0" borderId="9" xfId="7" applyNumberFormat="1" applyFont="1" applyFill="1" applyBorder="1" applyAlignment="1">
      <alignment vertical="center" wrapText="1"/>
    </xf>
    <xf numFmtId="173" fontId="7" fillId="0" borderId="2" xfId="11" applyNumberFormat="1" applyFont="1" applyFill="1" applyBorder="1" applyAlignment="1">
      <alignment horizontal="right" vertical="center" wrapText="1"/>
    </xf>
    <xf numFmtId="0" fontId="7" fillId="0" borderId="14" xfId="7" applyNumberFormat="1" applyFont="1" applyFill="1" applyBorder="1" applyAlignment="1">
      <alignment horizontal="center" vertical="center" wrapText="1"/>
    </xf>
    <xf numFmtId="1" fontId="7" fillId="2"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173" fontId="3" fillId="0" borderId="2" xfId="11" applyNumberFormat="1" applyFont="1" applyFill="1" applyBorder="1" applyAlignment="1">
      <alignment horizontal="right" vertical="center" wrapText="1"/>
    </xf>
    <xf numFmtId="0" fontId="7" fillId="0" borderId="61" xfId="0" applyFont="1" applyBorder="1" applyAlignment="1">
      <alignment horizontal="justify" vertical="center" wrapText="1"/>
    </xf>
    <xf numFmtId="173" fontId="18" fillId="0" borderId="12" xfId="11" applyNumberFormat="1" applyFont="1" applyFill="1" applyBorder="1" applyAlignment="1">
      <alignment horizontal="right" vertical="center" wrapText="1"/>
    </xf>
    <xf numFmtId="0" fontId="7" fillId="0" borderId="62" xfId="0" applyFont="1" applyBorder="1" applyAlignment="1">
      <alignment horizontal="justify" vertical="center" wrapText="1"/>
    </xf>
    <xf numFmtId="173" fontId="18" fillId="0" borderId="4" xfId="11" applyNumberFormat="1" applyFont="1" applyFill="1" applyBorder="1" applyAlignment="1">
      <alignment horizontal="right" vertical="center" wrapText="1"/>
    </xf>
    <xf numFmtId="173" fontId="3" fillId="0" borderId="9" xfId="11" applyNumberFormat="1" applyFont="1" applyFill="1" applyBorder="1" applyAlignment="1">
      <alignment horizontal="right" vertical="center" wrapText="1"/>
    </xf>
    <xf numFmtId="173" fontId="7" fillId="0" borderId="24" xfId="11" applyNumberFormat="1" applyFont="1" applyFill="1" applyBorder="1" applyAlignment="1">
      <alignment horizontal="right" vertical="center" wrapText="1"/>
    </xf>
    <xf numFmtId="0" fontId="7" fillId="0" borderId="9" xfId="7" applyNumberFormat="1" applyFont="1" applyFill="1" applyBorder="1" applyAlignment="1">
      <alignment horizontal="center" vertical="center" wrapText="1"/>
    </xf>
    <xf numFmtId="0" fontId="3" fillId="6" borderId="3" xfId="0" applyFont="1" applyFill="1" applyBorder="1"/>
    <xf numFmtId="0" fontId="3" fillId="6" borderId="3" xfId="0" applyFont="1" applyFill="1" applyBorder="1" applyAlignment="1">
      <alignment horizontal="center"/>
    </xf>
    <xf numFmtId="0" fontId="3" fillId="6" borderId="0" xfId="0" applyFont="1" applyFill="1" applyAlignment="1">
      <alignment horizontal="justify" vertical="center" wrapText="1"/>
    </xf>
    <xf numFmtId="173" fontId="3" fillId="6" borderId="0" xfId="11" applyNumberFormat="1" applyFont="1" applyFill="1" applyBorder="1" applyAlignment="1">
      <alignment horizontal="right" vertical="center"/>
    </xf>
    <xf numFmtId="0" fontId="3" fillId="6" borderId="0" xfId="7" applyNumberFormat="1" applyFont="1" applyFill="1" applyBorder="1" applyAlignment="1">
      <alignment horizontal="center" vertical="center" wrapText="1"/>
    </xf>
    <xf numFmtId="173" fontId="3" fillId="6" borderId="0" xfId="7" applyFont="1" applyFill="1" applyBorder="1" applyAlignment="1">
      <alignment vertical="center" wrapText="1"/>
    </xf>
    <xf numFmtId="0" fontId="7" fillId="0" borderId="24" xfId="7" applyNumberFormat="1" applyFont="1" applyFill="1" applyBorder="1" applyAlignment="1">
      <alignment horizontal="center" vertical="center" wrapText="1"/>
    </xf>
    <xf numFmtId="173" fontId="7" fillId="0" borderId="25" xfId="11" applyNumberFormat="1" applyFont="1" applyFill="1" applyBorder="1" applyAlignment="1">
      <alignment horizontal="right" vertical="center" wrapText="1"/>
    </xf>
    <xf numFmtId="0" fontId="7" fillId="0" borderId="24" xfId="7" applyNumberFormat="1" applyFont="1" applyBorder="1" applyAlignment="1">
      <alignment horizontal="center" vertical="center" wrapText="1"/>
    </xf>
    <xf numFmtId="173" fontId="7" fillId="0" borderId="30" xfId="11" applyNumberFormat="1" applyFont="1" applyFill="1" applyBorder="1" applyAlignment="1">
      <alignment horizontal="right" vertical="center" wrapText="1"/>
    </xf>
    <xf numFmtId="0" fontId="7" fillId="0" borderId="17" xfId="7" applyNumberFormat="1" applyFont="1" applyBorder="1" applyAlignment="1">
      <alignment horizontal="center" vertical="center" wrapText="1"/>
    </xf>
    <xf numFmtId="173" fontId="3" fillId="0" borderId="24" xfId="11" applyNumberFormat="1" applyFont="1" applyFill="1" applyBorder="1" applyAlignment="1">
      <alignment horizontal="right" vertical="center" wrapText="1"/>
    </xf>
    <xf numFmtId="173" fontId="3" fillId="0" borderId="15" xfId="11" applyNumberFormat="1" applyFont="1" applyFill="1" applyBorder="1" applyAlignment="1">
      <alignment horizontal="right" vertical="center" wrapText="1"/>
    </xf>
    <xf numFmtId="0" fontId="7" fillId="0" borderId="38" xfId="0" applyFont="1" applyFill="1" applyBorder="1" applyAlignment="1" applyProtection="1">
      <alignment horizontal="justify" vertical="center" wrapText="1"/>
      <protection locked="0"/>
    </xf>
    <xf numFmtId="173" fontId="7" fillId="0" borderId="29" xfId="11" applyNumberFormat="1" applyFont="1" applyFill="1" applyBorder="1" applyAlignment="1" applyProtection="1">
      <alignment horizontal="right" vertical="center" wrapText="1"/>
      <protection locked="0"/>
    </xf>
    <xf numFmtId="0" fontId="7" fillId="0" borderId="17" xfId="7" applyNumberFormat="1" applyFont="1" applyFill="1" applyBorder="1" applyAlignment="1" applyProtection="1">
      <alignment horizontal="center" vertical="center" wrapText="1"/>
      <protection locked="0"/>
    </xf>
    <xf numFmtId="173" fontId="7" fillId="0" borderId="17" xfId="7" applyFont="1" applyFill="1" applyBorder="1" applyAlignment="1" applyProtection="1">
      <alignment vertical="center" wrapText="1"/>
      <protection locked="0"/>
    </xf>
    <xf numFmtId="173" fontId="7" fillId="0" borderId="51" xfId="11" applyNumberFormat="1" applyFont="1" applyFill="1" applyBorder="1" applyAlignment="1" applyProtection="1">
      <alignment horizontal="right" vertical="center" wrapText="1"/>
      <protection locked="0"/>
    </xf>
    <xf numFmtId="173" fontId="18" fillId="0" borderId="7" xfId="11" applyNumberFormat="1" applyFont="1" applyFill="1" applyBorder="1" applyAlignment="1">
      <alignment horizontal="right" vertical="center" wrapText="1"/>
    </xf>
    <xf numFmtId="0" fontId="7" fillId="0" borderId="17" xfId="0" applyFont="1" applyFill="1" applyBorder="1" applyAlignment="1" applyProtection="1">
      <alignment horizontal="justify" vertical="center" wrapText="1"/>
      <protection locked="0"/>
    </xf>
    <xf numFmtId="173" fontId="7" fillId="0" borderId="39" xfId="11" applyNumberFormat="1" applyFont="1" applyFill="1" applyBorder="1" applyAlignment="1" applyProtection="1">
      <alignment horizontal="right" vertical="center" wrapText="1"/>
      <protection locked="0"/>
    </xf>
    <xf numFmtId="0" fontId="7" fillId="0" borderId="29" xfId="0" applyFont="1" applyFill="1" applyBorder="1" applyAlignment="1" applyProtection="1">
      <alignment horizontal="justify" vertical="center" wrapText="1"/>
      <protection locked="0"/>
    </xf>
    <xf numFmtId="173" fontId="7" fillId="0" borderId="2" xfId="11" applyNumberFormat="1" applyFont="1" applyFill="1" applyBorder="1" applyAlignment="1" applyProtection="1">
      <alignment horizontal="right" vertical="center" wrapText="1"/>
      <protection locked="0"/>
    </xf>
    <xf numFmtId="173" fontId="7" fillId="0" borderId="23" xfId="11" applyNumberFormat="1" applyFont="1" applyFill="1" applyBorder="1" applyAlignment="1" applyProtection="1">
      <alignment horizontal="right" vertical="center" wrapText="1"/>
      <protection locked="0"/>
    </xf>
    <xf numFmtId="0" fontId="7" fillId="0" borderId="38" xfId="7" applyNumberFormat="1" applyFont="1" applyFill="1" applyBorder="1" applyAlignment="1" applyProtection="1">
      <alignment horizontal="center" vertical="center" wrapText="1"/>
      <protection locked="0"/>
    </xf>
    <xf numFmtId="0" fontId="7" fillId="0" borderId="42" xfId="7" applyNumberFormat="1" applyFont="1" applyFill="1" applyBorder="1" applyAlignment="1" applyProtection="1">
      <alignment horizontal="center" vertical="center" wrapText="1"/>
      <protection locked="0"/>
    </xf>
    <xf numFmtId="0" fontId="7" fillId="0" borderId="24" xfId="0" applyFont="1" applyFill="1" applyBorder="1" applyAlignment="1" applyProtection="1">
      <alignment horizontal="justify" vertical="center" wrapText="1"/>
      <protection locked="0"/>
    </xf>
    <xf numFmtId="0" fontId="7" fillId="0" borderId="24" xfId="7" applyNumberFormat="1" applyFont="1" applyFill="1" applyBorder="1" applyAlignment="1" applyProtection="1">
      <alignment horizontal="center" vertical="center" wrapText="1"/>
      <protection locked="0"/>
    </xf>
    <xf numFmtId="173" fontId="7" fillId="0" borderId="24" xfId="7" applyFont="1" applyFill="1" applyBorder="1" applyAlignment="1" applyProtection="1">
      <alignment vertical="center" wrapText="1"/>
      <protection locked="0"/>
    </xf>
    <xf numFmtId="10" fontId="7" fillId="0" borderId="26" xfId="3" applyNumberFormat="1" applyFont="1" applyFill="1" applyBorder="1" applyAlignment="1">
      <alignment vertical="center" wrapText="1"/>
    </xf>
    <xf numFmtId="173" fontId="7" fillId="0" borderId="24" xfId="11" applyNumberFormat="1" applyFont="1" applyFill="1" applyBorder="1" applyAlignment="1" applyProtection="1">
      <alignment horizontal="right" vertical="center" wrapText="1"/>
      <protection locked="0"/>
    </xf>
    <xf numFmtId="0" fontId="3" fillId="0" borderId="25" xfId="7" applyNumberFormat="1" applyFont="1" applyFill="1" applyBorder="1" applyAlignment="1">
      <alignment horizontal="center" vertical="center" wrapText="1"/>
    </xf>
    <xf numFmtId="173" fontId="7" fillId="0" borderId="17" xfId="11" applyNumberFormat="1" applyFont="1" applyFill="1" applyBorder="1" applyAlignment="1" applyProtection="1">
      <alignment horizontal="right" vertical="center" wrapText="1"/>
      <protection locked="0"/>
    </xf>
    <xf numFmtId="0" fontId="7" fillId="0" borderId="17" xfId="0" applyFont="1" applyBorder="1" applyAlignment="1" applyProtection="1">
      <alignment horizontal="justify" vertical="center" wrapText="1"/>
      <protection locked="0"/>
    </xf>
    <xf numFmtId="0" fontId="7" fillId="0" borderId="38" xfId="0" applyFont="1" applyBorder="1" applyAlignment="1" applyProtection="1">
      <alignment horizontal="justify" vertical="center" wrapText="1"/>
      <protection locked="0"/>
    </xf>
    <xf numFmtId="0" fontId="7" fillId="0" borderId="29" xfId="0" applyFont="1" applyBorder="1" applyAlignment="1" applyProtection="1">
      <alignment horizontal="justify" vertical="center" wrapText="1"/>
      <protection locked="0"/>
    </xf>
    <xf numFmtId="0" fontId="7" fillId="0" borderId="24" xfId="0" applyFont="1" applyBorder="1" applyAlignment="1" applyProtection="1">
      <alignment horizontal="justify" vertical="center" wrapText="1"/>
      <protection locked="0"/>
    </xf>
    <xf numFmtId="0" fontId="3" fillId="6" borderId="11" xfId="0" applyFont="1" applyFill="1" applyBorder="1" applyAlignment="1">
      <alignment horizontal="justify" vertical="center" wrapText="1"/>
    </xf>
    <xf numFmtId="173" fontId="7" fillId="0" borderId="24" xfId="11" applyNumberFormat="1" applyFont="1" applyBorder="1" applyAlignment="1">
      <alignment horizontal="right" vertical="center" wrapText="1"/>
    </xf>
    <xf numFmtId="0" fontId="3" fillId="0" borderId="24" xfId="7" applyNumberFormat="1" applyFont="1" applyBorder="1" applyAlignment="1">
      <alignment horizontal="center" vertical="center" wrapText="1"/>
    </xf>
    <xf numFmtId="173" fontId="7" fillId="0" borderId="17" xfId="11" applyNumberFormat="1" applyFont="1" applyBorder="1" applyAlignment="1">
      <alignment horizontal="right" vertical="center" wrapText="1"/>
    </xf>
    <xf numFmtId="0" fontId="3" fillId="0" borderId="17" xfId="7" applyNumberFormat="1" applyFont="1" applyBorder="1" applyAlignment="1">
      <alignment horizontal="center" vertical="center" wrapText="1"/>
    </xf>
    <xf numFmtId="0" fontId="6" fillId="5" borderId="3" xfId="0" applyFont="1" applyFill="1" applyBorder="1" applyAlignment="1">
      <alignment horizontal="justify" vertical="center"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justify" vertical="center"/>
    </xf>
    <xf numFmtId="0" fontId="6" fillId="5" borderId="3" xfId="0" applyFont="1" applyFill="1" applyBorder="1" applyAlignment="1">
      <alignment horizontal="center" vertical="center"/>
    </xf>
    <xf numFmtId="9" fontId="6" fillId="5" borderId="3" xfId="3" applyFont="1" applyFill="1" applyBorder="1" applyAlignment="1">
      <alignment horizontal="center" vertical="center"/>
    </xf>
    <xf numFmtId="173" fontId="6" fillId="5" borderId="3" xfId="7" applyFont="1" applyFill="1" applyBorder="1" applyAlignment="1">
      <alignment vertical="center"/>
    </xf>
    <xf numFmtId="173" fontId="6" fillId="5" borderId="3" xfId="11" applyNumberFormat="1" applyFont="1" applyFill="1" applyBorder="1" applyAlignment="1">
      <alignment horizontal="right" vertical="center"/>
    </xf>
    <xf numFmtId="0" fontId="6" fillId="5" borderId="3" xfId="7" applyNumberFormat="1" applyFont="1" applyFill="1" applyBorder="1" applyAlignment="1">
      <alignment horizontal="center" vertical="center" wrapText="1"/>
    </xf>
    <xf numFmtId="173" fontId="6" fillId="5" borderId="3" xfId="7" applyFont="1" applyFill="1" applyBorder="1" applyAlignment="1">
      <alignment vertical="center" wrapText="1"/>
    </xf>
    <xf numFmtId="0" fontId="6" fillId="6" borderId="5" xfId="0" applyFont="1" applyFill="1" applyBorder="1" applyAlignment="1">
      <alignment horizontal="left" vertical="center" wrapText="1"/>
    </xf>
    <xf numFmtId="0" fontId="6" fillId="6" borderId="8" xfId="0" applyFont="1" applyFill="1" applyBorder="1" applyAlignment="1">
      <alignment horizontal="left" vertical="center"/>
    </xf>
    <xf numFmtId="0" fontId="3" fillId="6" borderId="5" xfId="0" applyFont="1" applyFill="1" applyBorder="1"/>
    <xf numFmtId="0" fontId="3" fillId="6" borderId="5" xfId="0" applyFont="1" applyFill="1" applyBorder="1" applyAlignment="1">
      <alignment horizontal="center" vertical="center"/>
    </xf>
    <xf numFmtId="165" fontId="3" fillId="6" borderId="5" xfId="0" applyNumberFormat="1" applyFont="1" applyFill="1" applyBorder="1" applyAlignment="1">
      <alignment horizontal="justify" vertical="center" wrapText="1"/>
    </xf>
    <xf numFmtId="9" fontId="3" fillId="6" borderId="5" xfId="3" applyFont="1" applyFill="1" applyBorder="1" applyAlignment="1">
      <alignment horizontal="center" vertical="center"/>
    </xf>
    <xf numFmtId="173" fontId="3" fillId="6" borderId="5" xfId="7" applyFont="1" applyFill="1" applyBorder="1" applyAlignment="1">
      <alignment vertical="center"/>
    </xf>
    <xf numFmtId="173" fontId="3" fillId="6" borderId="5" xfId="11" applyNumberFormat="1" applyFont="1" applyFill="1" applyBorder="1" applyAlignment="1">
      <alignment horizontal="right" vertical="center"/>
    </xf>
    <xf numFmtId="0" fontId="3" fillId="6" borderId="5" xfId="7" applyNumberFormat="1" applyFont="1" applyFill="1" applyBorder="1" applyAlignment="1">
      <alignment horizontal="center" vertical="center" wrapText="1"/>
    </xf>
    <xf numFmtId="173" fontId="3" fillId="6" borderId="5" xfId="7" applyFont="1" applyFill="1" applyBorder="1" applyAlignment="1">
      <alignment vertical="center" wrapText="1"/>
    </xf>
    <xf numFmtId="165" fontId="3" fillId="6" borderId="5" xfId="0" applyNumberFormat="1" applyFont="1" applyFill="1" applyBorder="1" applyAlignment="1">
      <alignment horizontal="center" vertical="center"/>
    </xf>
    <xf numFmtId="165" fontId="3" fillId="6" borderId="5" xfId="0" applyNumberFormat="1" applyFont="1" applyFill="1" applyBorder="1" applyAlignment="1">
      <alignment horizontal="center" vertical="center" wrapText="1"/>
    </xf>
    <xf numFmtId="0" fontId="0" fillId="0" borderId="5" xfId="0" applyBorder="1"/>
    <xf numFmtId="173" fontId="3" fillId="0" borderId="17" xfId="11" applyNumberFormat="1" applyFont="1" applyBorder="1" applyAlignment="1">
      <alignment horizontal="right" vertical="center" wrapText="1"/>
    </xf>
    <xf numFmtId="0" fontId="0" fillId="0" borderId="0" xfId="0" applyBorder="1"/>
    <xf numFmtId="0" fontId="0" fillId="0" borderId="3" xfId="0" applyBorder="1"/>
    <xf numFmtId="173" fontId="6" fillId="5" borderId="3" xfId="7" applyFont="1" applyFill="1" applyBorder="1" applyAlignment="1">
      <alignment horizontal="justify" vertical="center" wrapText="1"/>
    </xf>
    <xf numFmtId="1" fontId="3" fillId="0" borderId="8" xfId="0" applyNumberFormat="1" applyFont="1" applyBorder="1"/>
    <xf numFmtId="0" fontId="3" fillId="0" borderId="5" xfId="0" applyFont="1" applyBorder="1"/>
    <xf numFmtId="0" fontId="3" fillId="0" borderId="7" xfId="0" applyFont="1" applyBorder="1"/>
    <xf numFmtId="0" fontId="3" fillId="6" borderId="11" xfId="0" applyFont="1" applyFill="1" applyBorder="1"/>
    <xf numFmtId="0" fontId="3" fillId="6" borderId="11" xfId="0" applyFont="1" applyFill="1" applyBorder="1" applyAlignment="1">
      <alignment horizontal="center" vertical="center"/>
    </xf>
    <xf numFmtId="165" fontId="3" fillId="6" borderId="11" xfId="0" applyNumberFormat="1" applyFont="1" applyFill="1" applyBorder="1" applyAlignment="1">
      <alignment horizontal="justify" vertical="center" wrapText="1"/>
    </xf>
    <xf numFmtId="9" fontId="3" fillId="6" borderId="11" xfId="3" applyFont="1" applyFill="1" applyBorder="1" applyAlignment="1">
      <alignment horizontal="center" vertical="center"/>
    </xf>
    <xf numFmtId="173" fontId="3" fillId="6" borderId="11" xfId="7" applyFont="1" applyFill="1" applyBorder="1" applyAlignment="1">
      <alignment vertical="center"/>
    </xf>
    <xf numFmtId="173" fontId="3" fillId="6" borderId="11" xfId="11" applyNumberFormat="1" applyFont="1" applyFill="1" applyBorder="1" applyAlignment="1">
      <alignment horizontal="right" vertical="center"/>
    </xf>
    <xf numFmtId="0" fontId="3" fillId="6" borderId="11" xfId="7" applyNumberFormat="1" applyFont="1" applyFill="1" applyBorder="1" applyAlignment="1">
      <alignment horizontal="center" vertical="center" wrapText="1"/>
    </xf>
    <xf numFmtId="173" fontId="3" fillId="6" borderId="11" xfId="7" applyFont="1" applyFill="1" applyBorder="1" applyAlignment="1">
      <alignment vertical="center" wrapText="1"/>
    </xf>
    <xf numFmtId="165" fontId="3" fillId="6" borderId="11" xfId="0" applyNumberFormat="1" applyFont="1" applyFill="1" applyBorder="1" applyAlignment="1">
      <alignment horizontal="center" vertical="center"/>
    </xf>
    <xf numFmtId="165" fontId="3" fillId="6" borderId="11" xfId="0" applyNumberFormat="1" applyFont="1" applyFill="1" applyBorder="1" applyAlignment="1">
      <alignment horizontal="center" vertical="center" wrapText="1"/>
    </xf>
    <xf numFmtId="173" fontId="7" fillId="0" borderId="15" xfId="7" applyFont="1" applyFill="1" applyBorder="1" applyAlignment="1">
      <alignment vertical="center" wrapText="1"/>
    </xf>
    <xf numFmtId="3" fontId="3" fillId="0" borderId="2"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wrapText="1"/>
    </xf>
    <xf numFmtId="0" fontId="3" fillId="0" borderId="12" xfId="0" applyFont="1" applyBorder="1" applyAlignment="1">
      <alignment horizontal="center"/>
    </xf>
    <xf numFmtId="0" fontId="3" fillId="0" borderId="2" xfId="0" applyFont="1" applyBorder="1" applyAlignment="1">
      <alignment horizontal="center"/>
    </xf>
    <xf numFmtId="173" fontId="2" fillId="0" borderId="2" xfId="0" applyNumberFormat="1"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vertical="center"/>
    </xf>
    <xf numFmtId="173" fontId="2" fillId="0" borderId="2" xfId="0" applyNumberFormat="1" applyFont="1" applyBorder="1" applyAlignment="1">
      <alignment horizontal="right" vertical="center"/>
    </xf>
    <xf numFmtId="173" fontId="0" fillId="0" borderId="0" xfId="0" applyNumberFormat="1"/>
    <xf numFmtId="0" fontId="15" fillId="0" borderId="2" xfId="0" applyFont="1" applyBorder="1" applyAlignment="1">
      <alignment horizontal="center" vertical="center"/>
    </xf>
    <xf numFmtId="0" fontId="15" fillId="0" borderId="2" xfId="0" applyFont="1" applyBorder="1" applyAlignment="1">
      <alignment horizontal="left" vertical="center" wrapText="1"/>
    </xf>
    <xf numFmtId="3" fontId="17" fillId="0" borderId="2" xfId="0" applyNumberFormat="1" applyFont="1" applyBorder="1" applyAlignment="1">
      <alignment horizontal="left" vertical="center" wrapText="1"/>
    </xf>
    <xf numFmtId="0" fontId="2" fillId="0" borderId="3" xfId="0" applyFont="1" applyBorder="1" applyAlignment="1">
      <alignment horizontal="justify" vertical="center" wrapText="1"/>
    </xf>
    <xf numFmtId="0" fontId="3" fillId="0" borderId="0" xfId="0" applyFont="1" applyAlignment="1">
      <alignment horizontal="center" vertical="center" wrapText="1"/>
    </xf>
    <xf numFmtId="0" fontId="2" fillId="3" borderId="10" xfId="0" applyFont="1" applyFill="1" applyBorder="1" applyAlignment="1">
      <alignment vertical="center" textRotation="90" wrapText="1"/>
    </xf>
    <xf numFmtId="49" fontId="2" fillId="3" borderId="10" xfId="0" applyNumberFormat="1" applyFont="1" applyFill="1" applyBorder="1" applyAlignment="1">
      <alignment horizontal="center" vertical="center" textRotation="90" wrapText="1"/>
    </xf>
    <xf numFmtId="0" fontId="2" fillId="3" borderId="10" xfId="0" applyFont="1" applyFill="1" applyBorder="1" applyAlignment="1">
      <alignment horizontal="center" vertical="center" textRotation="90" wrapText="1"/>
    </xf>
    <xf numFmtId="0" fontId="6" fillId="5" borderId="7" xfId="0" applyFont="1" applyFill="1" applyBorder="1" applyAlignment="1">
      <alignment horizontal="left" vertical="center"/>
    </xf>
    <xf numFmtId="0" fontId="2" fillId="6" borderId="0" xfId="0" applyFont="1" applyFill="1" applyAlignment="1">
      <alignment horizontal="justify" vertical="center" wrapText="1"/>
    </xf>
    <xf numFmtId="165" fontId="2" fillId="6" borderId="0" xfId="0" applyNumberFormat="1" applyFont="1" applyFill="1" applyAlignment="1">
      <alignment horizontal="center" vertical="center"/>
    </xf>
    <xf numFmtId="167" fontId="2" fillId="6" borderId="0" xfId="0" applyNumberFormat="1" applyFont="1" applyFill="1" applyAlignment="1">
      <alignment horizontal="center" vertical="center"/>
    </xf>
    <xf numFmtId="0" fontId="3" fillId="2" borderId="5" xfId="0" applyFont="1" applyFill="1" applyBorder="1"/>
    <xf numFmtId="0" fontId="3" fillId="2" borderId="5" xfId="0" applyFont="1" applyFill="1" applyBorder="1" applyAlignment="1">
      <alignment vertical="center" wrapText="1"/>
    </xf>
    <xf numFmtId="3" fontId="3" fillId="2" borderId="9" xfId="0" applyNumberFormat="1" applyFont="1" applyFill="1" applyBorder="1" applyAlignment="1">
      <alignment horizontal="center" vertical="center" wrapText="1"/>
    </xf>
    <xf numFmtId="0" fontId="3" fillId="2" borderId="0" xfId="0" applyFont="1" applyFill="1" applyAlignment="1">
      <alignment vertical="center" wrapText="1"/>
    </xf>
    <xf numFmtId="3" fontId="3" fillId="2" borderId="14" xfId="0" applyNumberFormat="1" applyFont="1" applyFill="1" applyBorder="1" applyAlignment="1">
      <alignment horizontal="center" vertical="center" wrapText="1"/>
    </xf>
    <xf numFmtId="0" fontId="3" fillId="0" borderId="15" xfId="0" applyFont="1" applyBorder="1" applyAlignment="1">
      <alignment horizontal="justify" vertical="center" wrapText="1"/>
    </xf>
    <xf numFmtId="4" fontId="7" fillId="0" borderId="2" xfId="0" applyNumberFormat="1" applyFont="1" applyFill="1" applyBorder="1" applyAlignment="1">
      <alignment horizontal="right" vertical="center"/>
    </xf>
    <xf numFmtId="3" fontId="3" fillId="2" borderId="15" xfId="0" applyNumberFormat="1" applyFont="1" applyFill="1" applyBorder="1" applyAlignment="1">
      <alignment horizontal="center" vertical="center" wrapText="1"/>
    </xf>
    <xf numFmtId="1" fontId="3" fillId="2" borderId="15" xfId="0" applyNumberFormat="1" applyFont="1" applyFill="1" applyBorder="1" applyAlignment="1">
      <alignment horizontal="justify" vertical="center" wrapText="1"/>
    </xf>
    <xf numFmtId="4" fontId="7" fillId="0" borderId="17" xfId="0" applyNumberFormat="1" applyFont="1" applyFill="1" applyBorder="1" applyAlignment="1">
      <alignment horizontal="right" vertical="center"/>
    </xf>
    <xf numFmtId="0" fontId="7" fillId="0" borderId="38" xfId="5" applyNumberFormat="1" applyFont="1" applyFill="1" applyBorder="1">
      <alignment horizontal="center" vertical="center" wrapText="1"/>
    </xf>
    <xf numFmtId="2" fontId="7" fillId="0" borderId="38" xfId="0" applyNumberFormat="1" applyFont="1" applyBorder="1" applyAlignment="1">
      <alignment horizontal="center" vertical="center" wrapText="1"/>
    </xf>
    <xf numFmtId="9" fontId="3" fillId="0" borderId="39" xfId="3" applyFont="1" applyFill="1" applyBorder="1" applyAlignment="1">
      <alignment horizontal="center" vertical="center" wrapText="1"/>
    </xf>
    <xf numFmtId="4" fontId="7" fillId="0" borderId="38" xfId="0" applyNumberFormat="1" applyFont="1" applyFill="1" applyBorder="1" applyAlignment="1">
      <alignment horizontal="right" vertical="center"/>
    </xf>
    <xf numFmtId="0" fontId="7" fillId="0" borderId="41" xfId="0" applyFont="1" applyBorder="1" applyAlignment="1">
      <alignment horizontal="justify" vertical="center" wrapText="1"/>
    </xf>
    <xf numFmtId="4" fontId="7" fillId="0" borderId="41" xfId="0" applyNumberFormat="1" applyFont="1" applyFill="1" applyBorder="1" applyAlignment="1">
      <alignment horizontal="right" vertical="center"/>
    </xf>
    <xf numFmtId="0" fontId="3" fillId="0" borderId="1" xfId="0" applyFont="1" applyBorder="1" applyAlignment="1">
      <alignment horizontal="justify" vertical="center" wrapText="1"/>
    </xf>
    <xf numFmtId="4" fontId="7" fillId="0" borderId="39" xfId="0" applyNumberFormat="1" applyFont="1" applyFill="1" applyBorder="1" applyAlignment="1">
      <alignment horizontal="right" vertical="center"/>
    </xf>
    <xf numFmtId="9" fontId="3" fillId="0" borderId="38" xfId="3" applyFont="1" applyFill="1" applyBorder="1" applyAlignment="1">
      <alignment horizontal="center" vertical="center" wrapText="1"/>
    </xf>
    <xf numFmtId="0" fontId="7" fillId="0" borderId="10" xfId="0" applyFont="1" applyBorder="1" applyAlignment="1">
      <alignment horizontal="justify" vertical="center" wrapText="1"/>
    </xf>
    <xf numFmtId="4" fontId="7" fillId="0" borderId="24" xfId="0" applyNumberFormat="1" applyFont="1" applyFill="1" applyBorder="1" applyAlignment="1">
      <alignment horizontal="right" vertical="center"/>
    </xf>
    <xf numFmtId="1" fontId="3" fillId="0" borderId="24" xfId="0" applyNumberFormat="1" applyFont="1" applyFill="1" applyBorder="1" applyAlignment="1">
      <alignment horizontal="center" vertical="center" wrapText="1"/>
    </xf>
    <xf numFmtId="4" fontId="7" fillId="0" borderId="23" xfId="0" applyNumberFormat="1" applyFont="1" applyFill="1" applyBorder="1" applyAlignment="1">
      <alignment horizontal="right" vertical="center"/>
    </xf>
    <xf numFmtId="1" fontId="3" fillId="0" borderId="38"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0" fontId="7" fillId="0" borderId="51" xfId="0" applyFont="1" applyBorder="1" applyAlignment="1">
      <alignment horizontal="justify" vertical="center" wrapText="1"/>
    </xf>
    <xf numFmtId="0" fontId="7" fillId="6" borderId="0" xfId="0" applyFont="1" applyFill="1" applyAlignment="1">
      <alignment horizontal="center" vertical="center"/>
    </xf>
    <xf numFmtId="180" fontId="2" fillId="6" borderId="0" xfId="6" applyNumberFormat="1" applyFont="1" applyFill="1" applyAlignment="1">
      <alignment vertical="center"/>
    </xf>
    <xf numFmtId="0" fontId="2" fillId="6" borderId="71" xfId="0" applyFont="1" applyFill="1" applyBorder="1" applyAlignment="1">
      <alignment horizontal="justify" vertical="center" wrapText="1"/>
    </xf>
    <xf numFmtId="4" fontId="2" fillId="6" borderId="0" xfId="0" applyNumberFormat="1" applyFont="1" applyFill="1" applyAlignment="1">
      <alignment horizontal="right" vertical="center"/>
    </xf>
    <xf numFmtId="0" fontId="2" fillId="6" borderId="5" xfId="0" applyFont="1" applyFill="1" applyBorder="1" applyAlignment="1">
      <alignment horizontal="center" vertical="center"/>
    </xf>
    <xf numFmtId="167" fontId="2" fillId="6" borderId="5" xfId="0" applyNumberFormat="1" applyFont="1" applyFill="1" applyBorder="1" applyAlignment="1">
      <alignment horizontal="center" vertical="center"/>
    </xf>
    <xf numFmtId="0" fontId="2" fillId="6" borderId="7" xfId="0" applyFont="1" applyFill="1" applyBorder="1" applyAlignment="1">
      <alignment horizontal="justify" vertical="center" wrapText="1"/>
    </xf>
    <xf numFmtId="1" fontId="2" fillId="0" borderId="13" xfId="0" applyNumberFormat="1" applyFont="1" applyBorder="1" applyAlignment="1">
      <alignment horizontal="center" vertical="center" wrapText="1"/>
    </xf>
    <xf numFmtId="1" fontId="7" fillId="0" borderId="17" xfId="0" applyNumberFormat="1" applyFont="1" applyFill="1" applyBorder="1" applyAlignment="1">
      <alignment horizontal="center" vertical="center" wrapText="1"/>
    </xf>
    <xf numFmtId="0" fontId="3" fillId="0" borderId="0" xfId="0" applyFont="1" applyAlignment="1">
      <alignment vertical="center" wrapText="1"/>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3" fillId="0" borderId="15" xfId="0" applyFont="1" applyBorder="1" applyAlignment="1">
      <alignment horizontal="center"/>
    </xf>
    <xf numFmtId="0" fontId="3" fillId="2" borderId="15" xfId="0" applyFont="1" applyFill="1" applyBorder="1" applyAlignment="1">
      <alignment horizontal="center"/>
    </xf>
    <xf numFmtId="180" fontId="6" fillId="0" borderId="15" xfId="6" applyNumberFormat="1" applyFont="1" applyBorder="1" applyAlignment="1">
      <alignment vertical="center"/>
    </xf>
    <xf numFmtId="173" fontId="6" fillId="0" borderId="15" xfId="0" applyNumberFormat="1" applyFont="1" applyBorder="1" applyAlignment="1">
      <alignment vertical="center"/>
    </xf>
    <xf numFmtId="167" fontId="3" fillId="0" borderId="15" xfId="0" applyNumberFormat="1" applyFont="1" applyBorder="1" applyAlignment="1">
      <alignment horizontal="center" vertical="center"/>
    </xf>
    <xf numFmtId="167" fontId="3" fillId="0" borderId="15" xfId="0" applyNumberFormat="1" applyFont="1" applyBorder="1" applyAlignment="1">
      <alignment horizontal="center"/>
    </xf>
    <xf numFmtId="0" fontId="3" fillId="0" borderId="15" xfId="0" applyFont="1" applyBorder="1" applyAlignment="1">
      <alignment horizontal="justify" vertical="center"/>
    </xf>
    <xf numFmtId="173" fontId="6" fillId="0" borderId="0" xfId="0" applyNumberFormat="1" applyFont="1" applyAlignment="1">
      <alignment vertical="center"/>
    </xf>
    <xf numFmtId="165" fontId="3" fillId="0" borderId="0" xfId="0" applyNumberFormat="1" applyFont="1" applyAlignment="1">
      <alignment horizontal="center" vertical="center"/>
    </xf>
    <xf numFmtId="166" fontId="3" fillId="0" borderId="0" xfId="0" applyNumberFormat="1" applyFont="1" applyAlignment="1">
      <alignment vertical="center"/>
    </xf>
    <xf numFmtId="166" fontId="3" fillId="0" borderId="0" xfId="0" applyNumberFormat="1" applyFont="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center" vertical="center"/>
    </xf>
    <xf numFmtId="0" fontId="2" fillId="0" borderId="5" xfId="0" applyFont="1" applyBorder="1"/>
    <xf numFmtId="0" fontId="3" fillId="2" borderId="5" xfId="0" applyFont="1" applyFill="1" applyBorder="1" applyAlignment="1">
      <alignment horizontal="justify" vertical="center"/>
    </xf>
    <xf numFmtId="167" fontId="16" fillId="0" borderId="0" xfId="0" applyNumberFormat="1" applyFont="1" applyAlignment="1">
      <alignment horizontal="center" vertical="center"/>
    </xf>
    <xf numFmtId="0" fontId="16" fillId="0" borderId="0" xfId="0" applyFont="1" applyAlignment="1">
      <alignment horizontal="center"/>
    </xf>
    <xf numFmtId="176" fontId="0" fillId="0" borderId="0" xfId="0" applyNumberFormat="1"/>
    <xf numFmtId="1" fontId="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9" fontId="2" fillId="3" borderId="0" xfId="3" applyFont="1" applyFill="1" applyBorder="1" applyAlignment="1">
      <alignment horizontal="center" vertical="center" wrapText="1"/>
    </xf>
    <xf numFmtId="166" fontId="2" fillId="3" borderId="0" xfId="0" applyNumberFormat="1" applyFont="1" applyFill="1" applyBorder="1" applyAlignment="1">
      <alignment horizontal="center" vertical="center" wrapText="1"/>
    </xf>
    <xf numFmtId="0" fontId="2" fillId="3" borderId="0" xfId="0" applyFont="1" applyFill="1" applyBorder="1" applyAlignment="1">
      <alignment horizontal="justify" vertical="center" wrapText="1"/>
    </xf>
    <xf numFmtId="166" fontId="2" fillId="3" borderId="0" xfId="0" applyNumberFormat="1" applyFont="1" applyFill="1" applyBorder="1" applyAlignment="1">
      <alignment vertical="center" wrapText="1"/>
    </xf>
    <xf numFmtId="1" fontId="2" fillId="3" borderId="3" xfId="0" applyNumberFormat="1" applyFont="1" applyFill="1" applyBorder="1" applyAlignment="1">
      <alignment horizontal="center" vertical="center" wrapText="1"/>
    </xf>
    <xf numFmtId="1" fontId="7" fillId="5" borderId="11" xfId="0" applyNumberFormat="1" applyFont="1" applyFill="1" applyBorder="1" applyAlignment="1">
      <alignment horizontal="center" vertical="center"/>
    </xf>
    <xf numFmtId="0" fontId="6" fillId="6" borderId="5" xfId="0" applyFont="1" applyFill="1" applyBorder="1" applyAlignment="1">
      <alignment vertical="center" wrapText="1"/>
    </xf>
    <xf numFmtId="1" fontId="6" fillId="6" borderId="5" xfId="0" applyNumberFormat="1" applyFont="1" applyFill="1" applyBorder="1" applyAlignment="1">
      <alignment horizontal="center" vertical="center" wrapText="1"/>
    </xf>
    <xf numFmtId="173" fontId="6" fillId="6" borderId="5" xfId="10" applyFont="1" applyFill="1" applyBorder="1" applyAlignment="1">
      <alignment horizontal="justify" vertical="center"/>
    </xf>
    <xf numFmtId="173" fontId="6" fillId="6" borderId="5" xfId="7" applyFont="1" applyFill="1" applyBorder="1" applyAlignment="1">
      <alignment horizontal="center" vertical="center"/>
    </xf>
    <xf numFmtId="173" fontId="6" fillId="6" borderId="5" xfId="10" applyFont="1" applyFill="1" applyBorder="1" applyAlignment="1">
      <alignment horizontal="justify" vertical="center" wrapText="1"/>
    </xf>
    <xf numFmtId="173" fontId="6" fillId="6" borderId="5" xfId="7" applyFont="1" applyFill="1" applyBorder="1" applyAlignment="1">
      <alignment horizontal="center" vertical="center" wrapText="1"/>
    </xf>
    <xf numFmtId="173" fontId="6" fillId="6" borderId="5" xfId="10" applyFont="1" applyFill="1" applyBorder="1" applyAlignment="1">
      <alignment horizontal="center" vertical="center"/>
    </xf>
    <xf numFmtId="173" fontId="7" fillId="6" borderId="5" xfId="10" applyFont="1" applyFill="1" applyBorder="1" applyAlignment="1">
      <alignment horizontal="center" vertical="center"/>
    </xf>
    <xf numFmtId="0" fontId="6" fillId="2" borderId="1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Border="1" applyAlignment="1">
      <alignment horizontal="justify" vertical="center" wrapText="1"/>
    </xf>
    <xf numFmtId="1" fontId="19" fillId="2" borderId="30" xfId="0" applyNumberFormat="1" applyFont="1" applyFill="1" applyBorder="1" applyAlignment="1">
      <alignment horizontal="center" vertical="center"/>
    </xf>
    <xf numFmtId="173" fontId="7" fillId="2" borderId="2" xfId="7"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0" fillId="2" borderId="0" xfId="0" applyFill="1"/>
    <xf numFmtId="1" fontId="3" fillId="2" borderId="13" xfId="0" applyNumberFormat="1" applyFont="1" applyFill="1" applyBorder="1"/>
    <xf numFmtId="0" fontId="3" fillId="2" borderId="1" xfId="0" applyFont="1" applyFill="1" applyBorder="1"/>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37" fillId="14" borderId="30" xfId="0" applyFont="1" applyFill="1" applyBorder="1" applyAlignment="1">
      <alignment horizontal="center" vertical="center" wrapText="1"/>
    </xf>
    <xf numFmtId="0" fontId="37" fillId="2" borderId="24" xfId="0" applyFont="1" applyFill="1" applyBorder="1" applyAlignment="1">
      <alignment horizontal="justify" vertical="center" wrapText="1"/>
    </xf>
    <xf numFmtId="173" fontId="3" fillId="2" borderId="24" xfId="7" applyFont="1" applyFill="1" applyBorder="1" applyAlignment="1">
      <alignment horizontal="center" vertical="center"/>
    </xf>
    <xf numFmtId="173" fontId="3" fillId="2" borderId="17" xfId="7" applyFont="1" applyFill="1" applyBorder="1" applyAlignment="1">
      <alignment horizontal="center" vertical="center"/>
    </xf>
    <xf numFmtId="173" fontId="7" fillId="2" borderId="17" xfId="13" applyFont="1" applyFill="1" applyBorder="1" applyAlignment="1">
      <alignment horizontal="center" vertical="center" wrapText="1"/>
    </xf>
    <xf numFmtId="4" fontId="3" fillId="2" borderId="2" xfId="7" applyNumberFormat="1" applyFont="1" applyFill="1" applyBorder="1" applyAlignment="1">
      <alignment vertical="center"/>
    </xf>
    <xf numFmtId="0" fontId="3" fillId="2" borderId="2" xfId="7" applyNumberFormat="1" applyFont="1" applyFill="1" applyBorder="1" applyAlignment="1">
      <alignment horizontal="center" vertical="center"/>
    </xf>
    <xf numFmtId="4" fontId="3" fillId="0" borderId="2" xfId="7" applyNumberFormat="1" applyFont="1" applyFill="1" applyBorder="1" applyAlignment="1">
      <alignment vertical="center"/>
    </xf>
    <xf numFmtId="0" fontId="3" fillId="0" borderId="2" xfId="7" applyNumberFormat="1" applyFont="1" applyFill="1" applyBorder="1" applyAlignment="1">
      <alignment horizontal="center" vertical="center"/>
    </xf>
    <xf numFmtId="4" fontId="7" fillId="0" borderId="2" xfId="13" applyNumberFormat="1" applyFont="1" applyFill="1" applyBorder="1" applyAlignment="1">
      <alignment vertical="center"/>
    </xf>
    <xf numFmtId="0" fontId="7" fillId="0" borderId="25" xfId="0" applyFont="1" applyFill="1" applyBorder="1" applyAlignment="1">
      <alignment horizontal="center" vertical="center" wrapText="1"/>
    </xf>
    <xf numFmtId="0" fontId="3" fillId="0" borderId="4" xfId="0" applyFont="1" applyFill="1" applyBorder="1" applyAlignment="1">
      <alignment horizontal="center" vertical="center"/>
    </xf>
    <xf numFmtId="1" fontId="3" fillId="0" borderId="51" xfId="0" applyNumberFormat="1" applyFont="1" applyFill="1" applyBorder="1" applyAlignment="1">
      <alignment horizontal="center" vertical="center" wrapText="1"/>
    </xf>
    <xf numFmtId="9" fontId="3" fillId="0" borderId="26" xfId="3" applyNumberFormat="1" applyFont="1" applyFill="1" applyBorder="1" applyAlignment="1">
      <alignment horizontal="center" vertical="center"/>
    </xf>
    <xf numFmtId="173" fontId="7" fillId="0" borderId="12" xfId="7" applyFont="1" applyFill="1" applyBorder="1" applyAlignment="1">
      <alignment horizontal="center" vertical="center"/>
    </xf>
    <xf numFmtId="49" fontId="3" fillId="0" borderId="2" xfId="0" applyNumberFormat="1" applyFont="1" applyFill="1" applyBorder="1" applyAlignment="1">
      <alignment horizontal="center" vertical="center"/>
    </xf>
    <xf numFmtId="0" fontId="0" fillId="5" borderId="0" xfId="0" applyFill="1"/>
    <xf numFmtId="0" fontId="7" fillId="0" borderId="18" xfId="0" applyFont="1" applyFill="1" applyBorder="1" applyAlignment="1">
      <alignment horizontal="center" vertical="center" wrapText="1"/>
    </xf>
    <xf numFmtId="0" fontId="7" fillId="0" borderId="1" xfId="0" applyFont="1" applyFill="1" applyBorder="1" applyAlignment="1">
      <alignment horizontal="justify" vertical="center" wrapText="1"/>
    </xf>
    <xf numFmtId="1" fontId="3" fillId="0" borderId="0" xfId="0" applyNumberFormat="1" applyFont="1" applyFill="1" applyBorder="1" applyAlignment="1">
      <alignment horizontal="center" vertical="center" wrapText="1"/>
    </xf>
    <xf numFmtId="173" fontId="3" fillId="0" borderId="2" xfId="7" applyFont="1" applyFill="1" applyBorder="1" applyAlignment="1">
      <alignment horizontal="center" vertical="center"/>
    </xf>
    <xf numFmtId="173" fontId="3" fillId="0" borderId="2" xfId="7" applyFont="1" applyFill="1" applyBorder="1" applyAlignment="1">
      <alignment horizontal="center" vertical="center"/>
    </xf>
    <xf numFmtId="4" fontId="7" fillId="0" borderId="2" xfId="14" applyNumberFormat="1" applyFont="1" applyFill="1" applyBorder="1" applyAlignment="1">
      <alignment vertical="center"/>
    </xf>
    <xf numFmtId="9" fontId="3" fillId="2" borderId="2" xfId="3" applyFont="1" applyFill="1" applyBorder="1" applyAlignment="1">
      <alignment horizontal="center" vertical="center"/>
    </xf>
    <xf numFmtId="4" fontId="3" fillId="0" borderId="2" xfId="0" applyNumberFormat="1" applyFont="1" applyFill="1" applyBorder="1" applyAlignment="1">
      <alignment vertical="center"/>
    </xf>
    <xf numFmtId="0" fontId="6" fillId="6" borderId="0" xfId="0" applyFont="1" applyFill="1" applyBorder="1" applyAlignment="1">
      <alignment horizontal="left" vertical="center" wrapText="1"/>
    </xf>
    <xf numFmtId="0" fontId="6" fillId="6" borderId="0" xfId="0" applyFont="1" applyFill="1" applyBorder="1" applyAlignment="1">
      <alignment horizontal="left" vertical="center"/>
    </xf>
    <xf numFmtId="0" fontId="6" fillId="6" borderId="0" xfId="0" applyFont="1" applyFill="1" applyBorder="1" applyAlignment="1">
      <alignment horizontal="justify" vertical="center" wrapText="1"/>
    </xf>
    <xf numFmtId="0" fontId="7" fillId="6" borderId="0" xfId="0" applyFont="1" applyFill="1" applyBorder="1" applyAlignment="1">
      <alignment horizontal="center" vertical="center"/>
    </xf>
    <xf numFmtId="0" fontId="6" fillId="6" borderId="0" xfId="0" applyFont="1" applyFill="1" applyBorder="1" applyAlignment="1">
      <alignment horizontal="center" vertical="center"/>
    </xf>
    <xf numFmtId="1" fontId="6" fillId="6" borderId="0" xfId="0" applyNumberFormat="1" applyFont="1" applyFill="1" applyBorder="1" applyAlignment="1">
      <alignment horizontal="center" vertical="center" wrapText="1"/>
    </xf>
    <xf numFmtId="173" fontId="6" fillId="6" borderId="0" xfId="10" applyFont="1" applyFill="1" applyBorder="1" applyAlignment="1">
      <alignment horizontal="justify" vertical="center" wrapText="1"/>
    </xf>
    <xf numFmtId="9" fontId="6" fillId="6" borderId="0" xfId="3" applyFont="1" applyFill="1" applyBorder="1" applyAlignment="1">
      <alignment horizontal="center" vertical="center"/>
    </xf>
    <xf numFmtId="173" fontId="6" fillId="6" borderId="0" xfId="10" applyFont="1" applyFill="1" applyBorder="1" applyAlignment="1">
      <alignment horizontal="center" vertical="center"/>
    </xf>
    <xf numFmtId="49" fontId="6" fillId="6" borderId="5" xfId="10" applyNumberFormat="1" applyFont="1" applyFill="1" applyBorder="1" applyAlignment="1">
      <alignment horizontal="center" vertical="center"/>
    </xf>
    <xf numFmtId="1" fontId="3" fillId="2" borderId="13" xfId="0" applyNumberFormat="1" applyFont="1" applyFill="1" applyBorder="1" applyAlignment="1">
      <alignment vertical="center"/>
    </xf>
    <xf numFmtId="0" fontId="3" fillId="2" borderId="1" xfId="0" applyFont="1" applyFill="1" applyBorder="1" applyAlignment="1">
      <alignment vertical="center"/>
    </xf>
    <xf numFmtId="0" fontId="7" fillId="2" borderId="17" xfId="0" applyFont="1" applyFill="1" applyBorder="1" applyAlignment="1">
      <alignment horizontal="center" vertical="center"/>
    </xf>
    <xf numFmtId="9" fontId="3" fillId="2" borderId="24" xfId="3" applyFont="1" applyFill="1" applyBorder="1" applyAlignment="1">
      <alignment horizontal="center" vertical="center"/>
    </xf>
    <xf numFmtId="49" fontId="3" fillId="2" borderId="17" xfId="0" applyNumberFormat="1" applyFont="1" applyFill="1" applyBorder="1" applyAlignment="1">
      <alignment horizontal="center" vertical="center"/>
    </xf>
    <xf numFmtId="0" fontId="3" fillId="2" borderId="17" xfId="0" applyFont="1" applyFill="1" applyBorder="1" applyAlignment="1">
      <alignment horizontal="center"/>
    </xf>
    <xf numFmtId="0" fontId="7" fillId="2" borderId="17" xfId="0" applyFont="1" applyFill="1" applyBorder="1" applyAlignment="1">
      <alignment horizontal="justify" vertical="center"/>
    </xf>
    <xf numFmtId="0" fontId="3" fillId="0" borderId="17" xfId="0" applyFont="1" applyBorder="1"/>
    <xf numFmtId="0" fontId="3" fillId="2" borderId="17" xfId="0" applyFont="1" applyFill="1" applyBorder="1" applyAlignment="1">
      <alignment vertical="center"/>
    </xf>
    <xf numFmtId="0" fontId="3" fillId="2" borderId="17" xfId="0" applyFont="1" applyFill="1" applyBorder="1" applyAlignment="1">
      <alignment horizontal="justify"/>
    </xf>
    <xf numFmtId="0" fontId="3" fillId="2" borderId="17" xfId="0" applyFont="1" applyFill="1" applyBorder="1"/>
    <xf numFmtId="0" fontId="3" fillId="2" borderId="17" xfId="0" applyFont="1" applyFill="1" applyBorder="1" applyAlignment="1">
      <alignment horizontal="justify" vertical="center"/>
    </xf>
    <xf numFmtId="173" fontId="2" fillId="0" borderId="17" xfId="0" applyNumberFormat="1" applyFont="1" applyFill="1" applyBorder="1" applyAlignment="1">
      <alignment horizontal="center" vertical="center"/>
    </xf>
    <xf numFmtId="0" fontId="3" fillId="0" borderId="17" xfId="0" applyFont="1" applyBorder="1" applyAlignment="1">
      <alignment horizontal="center"/>
    </xf>
    <xf numFmtId="167" fontId="3" fillId="0" borderId="17" xfId="0" applyNumberFormat="1" applyFont="1" applyBorder="1" applyAlignment="1">
      <alignment horizontal="center"/>
    </xf>
    <xf numFmtId="0" fontId="3" fillId="0" borderId="17" xfId="0" applyFont="1" applyBorder="1" applyAlignment="1">
      <alignment horizontal="justify" vertical="center"/>
    </xf>
    <xf numFmtId="0" fontId="3" fillId="0" borderId="0" xfId="0" applyFont="1" applyFill="1" applyAlignment="1">
      <alignment horizontal="justify" vertical="center" wrapText="1"/>
    </xf>
    <xf numFmtId="166" fontId="3" fillId="0" borderId="0" xfId="0" applyNumberFormat="1" applyFont="1" applyFill="1" applyAlignment="1">
      <alignment horizontal="center" vertical="center"/>
    </xf>
    <xf numFmtId="167" fontId="3" fillId="0" borderId="0" xfId="0" applyNumberFormat="1" applyFont="1" applyFill="1" applyAlignment="1">
      <alignment horizontal="center" vertical="center"/>
    </xf>
    <xf numFmtId="0" fontId="2" fillId="0" borderId="0" xfId="0" applyFont="1" applyBorder="1"/>
    <xf numFmtId="1" fontId="2" fillId="0" borderId="0" xfId="0" applyNumberFormat="1" applyFont="1" applyBorder="1"/>
    <xf numFmtId="0" fontId="2" fillId="2" borderId="0" xfId="0" applyFont="1" applyFill="1" applyBorder="1" applyAlignment="1">
      <alignment horizontal="center"/>
    </xf>
    <xf numFmtId="1" fontId="2" fillId="0" borderId="0" xfId="0" applyNumberFormat="1" applyFont="1"/>
    <xf numFmtId="0" fontId="0" fillId="0" borderId="0" xfId="0" applyAlignment="1">
      <alignment horizontal="justify" vertical="center"/>
    </xf>
    <xf numFmtId="9" fontId="16" fillId="2" borderId="0" xfId="3" applyFont="1" applyFill="1" applyAlignment="1">
      <alignment horizontal="center" vertical="center"/>
    </xf>
    <xf numFmtId="1" fontId="3" fillId="2" borderId="13" xfId="0" applyNumberFormat="1" applyFont="1" applyFill="1" applyBorder="1" applyAlignment="1">
      <alignment horizontal="center" vertical="center" wrapText="1"/>
    </xf>
    <xf numFmtId="168" fontId="3" fillId="2" borderId="9" xfId="0" applyNumberFormat="1" applyFont="1" applyFill="1" applyBorder="1" applyAlignment="1">
      <alignment horizontal="center" vertical="center" wrapText="1"/>
    </xf>
    <xf numFmtId="168" fontId="3" fillId="2" borderId="14"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Border="1" applyAlignment="1">
      <alignment horizontal="justify" vertical="center" wrapText="1"/>
    </xf>
    <xf numFmtId="1" fontId="2" fillId="2" borderId="8"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9" xfId="0" applyFont="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1" fontId="3" fillId="2" borderId="17"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7" fillId="0" borderId="17" xfId="0" applyFont="1" applyBorder="1" applyAlignment="1">
      <alignment horizontal="justify" vertical="center" wrapText="1"/>
    </xf>
    <xf numFmtId="168" fontId="3" fillId="2" borderId="15" xfId="0" applyNumberFormat="1" applyFont="1" applyFill="1" applyBorder="1" applyAlignment="1">
      <alignment horizontal="center" vertical="center" wrapText="1"/>
    </xf>
    <xf numFmtId="0" fontId="3" fillId="2" borderId="30" xfId="0" applyFont="1" applyFill="1" applyBorder="1" applyAlignment="1">
      <alignment horizontal="center" vertical="center" wrapText="1"/>
    </xf>
    <xf numFmtId="1" fontId="3" fillId="2" borderId="9" xfId="0" applyNumberFormat="1" applyFont="1" applyFill="1" applyBorder="1" applyAlignment="1">
      <alignment horizontal="center" vertical="center"/>
    </xf>
    <xf numFmtId="0" fontId="7" fillId="0" borderId="2" xfId="0" applyFont="1" applyBorder="1" applyAlignment="1">
      <alignment horizontal="justify" vertical="center" wrapText="1"/>
    </xf>
    <xf numFmtId="0" fontId="3" fillId="2" borderId="2" xfId="0" applyFont="1" applyFill="1" applyBorder="1" applyAlignment="1">
      <alignment horizontal="justify" vertical="center" wrapText="1"/>
    </xf>
    <xf numFmtId="0" fontId="3" fillId="2" borderId="1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justify" vertical="center" wrapText="1"/>
    </xf>
    <xf numFmtId="9" fontId="3" fillId="2" borderId="15" xfId="3"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29" xfId="0" applyFont="1" applyBorder="1" applyAlignment="1">
      <alignment horizontal="justify" vertical="center" wrapText="1"/>
    </xf>
    <xf numFmtId="0" fontId="3" fillId="0" borderId="29" xfId="0" applyFont="1" applyBorder="1" applyAlignment="1">
      <alignment horizontal="center" vertical="center" wrapText="1"/>
    </xf>
    <xf numFmtId="180" fontId="7" fillId="0" borderId="17" xfId="6" applyNumberFormat="1" applyFont="1" applyBorder="1" applyAlignment="1">
      <alignment horizontal="center" vertical="center"/>
    </xf>
    <xf numFmtId="0" fontId="7" fillId="0" borderId="30" xfId="0" applyFont="1" applyBorder="1" applyAlignment="1">
      <alignment horizontal="justify" vertical="center" wrapText="1"/>
    </xf>
    <xf numFmtId="0" fontId="7" fillId="0" borderId="23" xfId="0" applyFont="1" applyBorder="1" applyAlignment="1">
      <alignment horizontal="justify" vertical="center" wrapText="1"/>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168" fontId="3" fillId="2" borderId="2" xfId="0" applyNumberFormat="1" applyFont="1" applyFill="1" applyBorder="1" applyAlignment="1">
      <alignment horizontal="center" vertical="center" wrapText="1"/>
    </xf>
    <xf numFmtId="180" fontId="7" fillId="0" borderId="24" xfId="6" applyNumberFormat="1" applyFont="1" applyBorder="1" applyAlignment="1">
      <alignment horizontal="center" vertical="center"/>
    </xf>
    <xf numFmtId="0" fontId="7" fillId="0" borderId="17" xfId="5" applyNumberFormat="1" applyFont="1" applyFill="1" applyBorder="1">
      <alignment horizontal="center" vertical="center" wrapText="1"/>
    </xf>
    <xf numFmtId="0" fontId="3" fillId="2" borderId="17" xfId="0" applyFont="1" applyFill="1" applyBorder="1" applyAlignment="1">
      <alignment horizontal="center" vertical="center"/>
    </xf>
    <xf numFmtId="0" fontId="3" fillId="2" borderId="6" xfId="0" applyFont="1" applyFill="1" applyBorder="1" applyAlignment="1">
      <alignment horizontal="justify" vertical="center" wrapText="1"/>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37" xfId="0" applyFont="1" applyBorder="1" applyAlignment="1">
      <alignment horizontal="center" vertical="center"/>
    </xf>
    <xf numFmtId="0" fontId="3" fillId="2" borderId="2" xfId="0" applyFont="1" applyFill="1" applyBorder="1" applyAlignment="1">
      <alignment horizontal="center" vertical="center"/>
    </xf>
    <xf numFmtId="0" fontId="3" fillId="0" borderId="15" xfId="0" applyFont="1" applyBorder="1" applyAlignment="1">
      <alignment horizontal="center" vertical="center"/>
    </xf>
    <xf numFmtId="0" fontId="7" fillId="0" borderId="25" xfId="5" applyNumberFormat="1" applyFont="1" applyFill="1" applyBorder="1">
      <alignment horizontal="center" vertical="center" wrapText="1"/>
    </xf>
    <xf numFmtId="0" fontId="7" fillId="0" borderId="2" xfId="5" applyNumberFormat="1" applyFont="1" applyFill="1" applyBorder="1" applyAlignment="1">
      <alignment horizontal="center" vertical="center" wrapText="1"/>
    </xf>
    <xf numFmtId="0" fontId="7" fillId="0" borderId="29" xfId="0" applyFont="1" applyBorder="1" applyAlignment="1">
      <alignment horizontal="justify" vertical="center" wrapText="1"/>
    </xf>
    <xf numFmtId="0" fontId="7" fillId="0" borderId="30" xfId="5" applyNumberFormat="1" applyFont="1" applyFill="1" applyBorder="1">
      <alignment horizontal="center"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5" applyNumberFormat="1" applyFont="1" applyFill="1" applyBorder="1">
      <alignment horizontal="center" vertical="center" wrapText="1"/>
    </xf>
    <xf numFmtId="0" fontId="3" fillId="2" borderId="29" xfId="0" applyFont="1" applyFill="1" applyBorder="1" applyAlignment="1">
      <alignment horizontal="center" vertical="center" wrapText="1"/>
    </xf>
    <xf numFmtId="0" fontId="6" fillId="0" borderId="2" xfId="0" applyFont="1" applyBorder="1" applyAlignment="1">
      <alignment horizontal="center" vertical="center"/>
    </xf>
    <xf numFmtId="167" fontId="3" fillId="0" borderId="2" xfId="0" applyNumberFormat="1" applyFont="1" applyBorder="1" applyAlignment="1">
      <alignment horizontal="center" vertical="center"/>
    </xf>
    <xf numFmtId="9" fontId="3" fillId="2" borderId="2" xfId="3" applyFont="1" applyFill="1" applyBorder="1" applyAlignment="1">
      <alignment horizontal="center" vertical="center"/>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15" fillId="0" borderId="2" xfId="0" applyFont="1" applyFill="1" applyBorder="1" applyAlignment="1">
      <alignment horizontal="center" vertical="center"/>
    </xf>
    <xf numFmtId="173" fontId="16" fillId="2" borderId="0" xfId="7" applyFont="1" applyFill="1"/>
    <xf numFmtId="0" fontId="15" fillId="0" borderId="2" xfId="0" applyFont="1" applyFill="1" applyBorder="1" applyAlignment="1">
      <alignment vertical="center" wrapText="1"/>
    </xf>
    <xf numFmtId="3" fontId="17" fillId="0" borderId="2" xfId="0" applyNumberFormat="1" applyFont="1" applyFill="1" applyBorder="1" applyAlignment="1">
      <alignment horizontal="left" vertical="center" wrapText="1"/>
    </xf>
    <xf numFmtId="0" fontId="15" fillId="0" borderId="6" xfId="0" applyFont="1" applyBorder="1" applyAlignment="1">
      <alignment vertical="center"/>
    </xf>
    <xf numFmtId="0" fontId="15" fillId="0" borderId="3" xfId="0" applyFont="1" applyBorder="1" applyAlignment="1">
      <alignment horizontal="center" vertical="center"/>
    </xf>
    <xf numFmtId="0" fontId="15" fillId="0" borderId="3" xfId="0" applyFont="1" applyBorder="1" applyAlignment="1">
      <alignment vertical="center"/>
    </xf>
    <xf numFmtId="164" fontId="15" fillId="0" borderId="3" xfId="0" applyNumberFormat="1" applyFont="1" applyBorder="1" applyAlignment="1">
      <alignment vertical="center"/>
    </xf>
    <xf numFmtId="0" fontId="15" fillId="0" borderId="4" xfId="0" applyFont="1" applyBorder="1" applyAlignment="1">
      <alignment vertical="center"/>
    </xf>
    <xf numFmtId="173" fontId="3" fillId="2" borderId="0" xfId="7" applyFont="1" applyFill="1"/>
    <xf numFmtId="0" fontId="6" fillId="5" borderId="8" xfId="0" applyNumberFormat="1" applyFont="1" applyFill="1" applyBorder="1" applyAlignment="1">
      <alignment horizontal="left" vertical="center" wrapText="1"/>
    </xf>
    <xf numFmtId="0" fontId="6" fillId="5" borderId="5" xfId="0" applyNumberFormat="1" applyFont="1" applyFill="1" applyBorder="1" applyAlignment="1">
      <alignment horizontal="lef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165" fontId="2" fillId="6" borderId="9" xfId="0" applyNumberFormat="1" applyFont="1" applyFill="1" applyBorder="1" applyAlignment="1">
      <alignment horizontal="center" vertical="center"/>
    </xf>
    <xf numFmtId="166" fontId="2" fillId="6" borderId="9" xfId="0" applyNumberFormat="1" applyFont="1" applyFill="1" applyBorder="1" applyAlignment="1">
      <alignment vertical="center"/>
    </xf>
    <xf numFmtId="164" fontId="2" fillId="6" borderId="9"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73" fontId="7" fillId="2" borderId="17" xfId="7" applyFont="1" applyFill="1" applyBorder="1" applyAlignment="1">
      <alignment horizontal="right" vertical="center"/>
    </xf>
    <xf numFmtId="1" fontId="2" fillId="2" borderId="0" xfId="0" applyNumberFormat="1" applyFont="1" applyFill="1" applyBorder="1" applyAlignment="1">
      <alignment vertical="center" textRotation="180" wrapText="1"/>
    </xf>
    <xf numFmtId="0" fontId="2" fillId="2" borderId="0" xfId="0" applyFont="1" applyFill="1" applyBorder="1" applyAlignment="1">
      <alignment horizontal="center" vertical="center" wrapText="1"/>
    </xf>
    <xf numFmtId="173" fontId="7" fillId="0" borderId="17" xfId="7" applyFont="1" applyFill="1" applyBorder="1" applyAlignment="1">
      <alignment horizontal="right" vertical="center"/>
    </xf>
    <xf numFmtId="0" fontId="3" fillId="0" borderId="30"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7" xfId="0" applyFont="1" applyFill="1" applyBorder="1" applyAlignment="1">
      <alignment horizontal="center" vertical="center" wrapText="1"/>
    </xf>
    <xf numFmtId="43" fontId="3" fillId="2" borderId="0" xfId="0" applyNumberFormat="1" applyFont="1" applyFill="1"/>
    <xf numFmtId="0" fontId="3" fillId="2" borderId="42" xfId="0" applyFont="1" applyFill="1" applyBorder="1" applyAlignment="1">
      <alignment horizontal="center" vertical="center" wrapText="1"/>
    </xf>
    <xf numFmtId="173" fontId="7" fillId="2" borderId="38" xfId="7" applyFont="1" applyFill="1" applyBorder="1" applyAlignment="1">
      <alignment horizontal="right" vertical="center"/>
    </xf>
    <xf numFmtId="0" fontId="38" fillId="8" borderId="12" xfId="0" applyFont="1" applyFill="1" applyBorder="1" applyAlignment="1">
      <alignment horizontal="left" vertical="center" wrapText="1"/>
    </xf>
    <xf numFmtId="173" fontId="18" fillId="0" borderId="17" xfId="7" applyFont="1" applyFill="1" applyBorder="1" applyAlignment="1">
      <alignment horizontal="center" vertical="center" wrapText="1"/>
    </xf>
    <xf numFmtId="1" fontId="3" fillId="0" borderId="56" xfId="0" applyNumberFormat="1" applyFont="1" applyFill="1" applyBorder="1" applyAlignment="1">
      <alignment horizontal="center" vertical="center"/>
    </xf>
    <xf numFmtId="173" fontId="3" fillId="0" borderId="0" xfId="7" applyFont="1" applyFill="1"/>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8" fillId="8" borderId="1" xfId="0" applyFont="1" applyFill="1" applyBorder="1" applyAlignment="1">
      <alignment horizontal="left" vertical="center" wrapText="1"/>
    </xf>
    <xf numFmtId="0" fontId="38" fillId="8" borderId="7" xfId="0" applyFont="1" applyFill="1" applyBorder="1" applyAlignment="1">
      <alignment horizontal="left" vertical="center" wrapText="1"/>
    </xf>
    <xf numFmtId="1" fontId="3" fillId="0" borderId="30" xfId="0" applyNumberFormat="1" applyFont="1" applyFill="1" applyBorder="1" applyAlignment="1">
      <alignment horizontal="center" vertical="center"/>
    </xf>
    <xf numFmtId="173" fontId="7" fillId="0" borderId="30" xfId="7" applyFont="1" applyFill="1" applyBorder="1" applyAlignment="1">
      <alignment horizontal="center" vertical="center" wrapText="1"/>
    </xf>
    <xf numFmtId="9" fontId="3" fillId="2" borderId="6" xfId="3" applyFont="1" applyFill="1" applyBorder="1" applyAlignment="1">
      <alignment horizontal="center" vertical="center"/>
    </xf>
    <xf numFmtId="43" fontId="3" fillId="2" borderId="17" xfId="0" applyNumberFormat="1" applyFont="1" applyFill="1" applyBorder="1" applyAlignment="1">
      <alignment vertical="center"/>
    </xf>
    <xf numFmtId="0" fontId="3" fillId="0" borderId="12" xfId="0" applyFont="1" applyFill="1" applyBorder="1" applyAlignment="1">
      <alignment horizontal="justify" vertical="center" wrapText="1"/>
    </xf>
    <xf numFmtId="0" fontId="7" fillId="2" borderId="10" xfId="0" applyFont="1" applyFill="1" applyBorder="1" applyAlignment="1">
      <alignment horizontal="justify" vertical="center" wrapText="1"/>
    </xf>
    <xf numFmtId="173" fontId="7" fillId="0" borderId="24" xfId="7" applyFont="1" applyFill="1" applyBorder="1" applyAlignment="1">
      <alignment horizontal="justify" vertical="center"/>
    </xf>
    <xf numFmtId="3" fontId="3" fillId="0" borderId="4" xfId="0" applyNumberFormat="1" applyFont="1" applyBorder="1" applyAlignment="1">
      <alignment horizontal="center" vertical="center"/>
    </xf>
    <xf numFmtId="3" fontId="3" fillId="0" borderId="15" xfId="0" applyNumberFormat="1" applyFont="1" applyBorder="1" applyAlignment="1">
      <alignment horizontal="center" vertical="center"/>
    </xf>
    <xf numFmtId="173" fontId="3" fillId="0" borderId="0" xfId="7" applyFont="1"/>
    <xf numFmtId="173" fontId="7" fillId="2" borderId="66" xfId="7" applyFont="1" applyFill="1" applyBorder="1" applyAlignment="1">
      <alignment horizontal="right" vertical="center"/>
    </xf>
    <xf numFmtId="173" fontId="18" fillId="2" borderId="2" xfId="7" applyFont="1" applyFill="1" applyBorder="1" applyAlignment="1">
      <alignment horizontal="right" vertical="center" wrapText="1"/>
    </xf>
    <xf numFmtId="0" fontId="6" fillId="6" borderId="1" xfId="0" applyNumberFormat="1" applyFont="1" applyFill="1" applyBorder="1" applyAlignment="1">
      <alignment horizontal="left" vertical="center" wrapText="1"/>
    </xf>
    <xf numFmtId="0" fontId="6" fillId="6" borderId="14" xfId="0" applyFont="1" applyFill="1" applyBorder="1" applyAlignment="1">
      <alignment vertical="center"/>
    </xf>
    <xf numFmtId="0" fontId="3" fillId="6" borderId="2" xfId="0" applyFont="1" applyFill="1" applyBorder="1"/>
    <xf numFmtId="0" fontId="3" fillId="6" borderId="9" xfId="0" applyFont="1" applyFill="1" applyBorder="1" applyAlignment="1">
      <alignment horizontal="center"/>
    </xf>
    <xf numFmtId="165" fontId="3" fillId="6" borderId="9" xfId="0" applyNumberFormat="1" applyFont="1" applyFill="1" applyBorder="1" applyAlignment="1">
      <alignment horizontal="center" vertical="center"/>
    </xf>
    <xf numFmtId="43" fontId="3" fillId="6" borderId="9" xfId="0" applyNumberFormat="1" applyFont="1" applyFill="1" applyBorder="1" applyAlignment="1">
      <alignment vertical="center"/>
    </xf>
    <xf numFmtId="0" fontId="7" fillId="6" borderId="9" xfId="0" applyFont="1" applyFill="1" applyBorder="1" applyAlignment="1">
      <alignment horizontal="justify" vertical="center" wrapText="1"/>
    </xf>
    <xf numFmtId="173" fontId="3" fillId="6" borderId="8" xfId="7" applyFont="1" applyFill="1" applyBorder="1" applyAlignment="1">
      <alignment horizontal="center" vertical="center"/>
    </xf>
    <xf numFmtId="1" fontId="3" fillId="6" borderId="30" xfId="0" applyNumberFormat="1" applyFont="1" applyFill="1" applyBorder="1" applyAlignment="1">
      <alignment horizontal="center" vertical="center"/>
    </xf>
    <xf numFmtId="0" fontId="3" fillId="6" borderId="38" xfId="0" applyFont="1" applyFill="1" applyBorder="1" applyAlignment="1">
      <alignment horizontal="center" vertical="center" wrapText="1"/>
    </xf>
    <xf numFmtId="3" fontId="3" fillId="6" borderId="12" xfId="0" applyNumberFormat="1" applyFont="1" applyFill="1" applyBorder="1" applyAlignment="1">
      <alignment horizontal="center"/>
    </xf>
    <xf numFmtId="3" fontId="3" fillId="6" borderId="2" xfId="0" applyNumberFormat="1" applyFont="1" applyFill="1" applyBorder="1" applyAlignment="1">
      <alignment horizontal="center"/>
    </xf>
    <xf numFmtId="167" fontId="3" fillId="6" borderId="2" xfId="0" applyNumberFormat="1" applyFont="1" applyFill="1" applyBorder="1" applyAlignment="1">
      <alignment horizontal="center" vertical="center"/>
    </xf>
    <xf numFmtId="167" fontId="3" fillId="6" borderId="2" xfId="0" applyNumberFormat="1" applyFont="1" applyFill="1" applyBorder="1" applyAlignment="1">
      <alignment horizontal="center"/>
    </xf>
    <xf numFmtId="0" fontId="3" fillId="6" borderId="2" xfId="0" applyFont="1" applyFill="1" applyBorder="1" applyAlignment="1">
      <alignment horizontal="justify" vertical="center"/>
    </xf>
    <xf numFmtId="0" fontId="6" fillId="0" borderId="0" xfId="0" applyNumberFormat="1" applyFont="1" applyFill="1" applyBorder="1" applyAlignment="1">
      <alignment horizontal="left" vertical="center" wrapText="1"/>
    </xf>
    <xf numFmtId="173" fontId="3" fillId="0" borderId="17" xfId="7" applyFont="1" applyFill="1" applyBorder="1" applyAlignment="1">
      <alignment horizontal="center" vertical="center"/>
    </xf>
    <xf numFmtId="0" fontId="39" fillId="0" borderId="2" xfId="0" applyFont="1" applyFill="1" applyBorder="1" applyAlignment="1">
      <alignment horizontal="center" vertical="center" wrapText="1"/>
    </xf>
    <xf numFmtId="173" fontId="3" fillId="2" borderId="38" xfId="7" applyFont="1" applyFill="1" applyBorder="1" applyAlignment="1">
      <alignment horizontal="center" vertical="center"/>
    </xf>
    <xf numFmtId="1" fontId="3" fillId="2" borderId="57" xfId="0" applyNumberFormat="1" applyFont="1" applyFill="1" applyBorder="1" applyAlignment="1">
      <alignment horizontal="center" vertical="center"/>
    </xf>
    <xf numFmtId="173" fontId="3" fillId="0" borderId="2" xfId="7" applyFont="1" applyFill="1" applyBorder="1" applyAlignment="1">
      <alignment horizontal="right" vertical="center"/>
    </xf>
    <xf numFmtId="1" fontId="3" fillId="2" borderId="2" xfId="0" applyNumberFormat="1" applyFont="1" applyFill="1" applyBorder="1" applyAlignment="1">
      <alignment horizontal="center" vertical="center"/>
    </xf>
    <xf numFmtId="0" fontId="3" fillId="0" borderId="2" xfId="0" applyFont="1" applyFill="1" applyBorder="1"/>
    <xf numFmtId="3" fontId="3" fillId="0" borderId="2" xfId="0" applyNumberFormat="1" applyFont="1" applyFill="1" applyBorder="1" applyAlignment="1">
      <alignment horizontal="center"/>
    </xf>
    <xf numFmtId="3" fontId="3" fillId="0" borderId="15" xfId="0" applyNumberFormat="1" applyFont="1" applyFill="1" applyBorder="1" applyAlignment="1">
      <alignment horizontal="center"/>
    </xf>
    <xf numFmtId="167" fontId="3" fillId="0" borderId="2" xfId="0" applyNumberFormat="1" applyFont="1" applyFill="1" applyBorder="1" applyAlignment="1">
      <alignment horizontal="center" vertical="center"/>
    </xf>
    <xf numFmtId="167" fontId="3" fillId="0" borderId="2" xfId="0" applyNumberFormat="1" applyFont="1" applyFill="1" applyBorder="1" applyAlignment="1">
      <alignment horizontal="center"/>
    </xf>
    <xf numFmtId="0" fontId="16" fillId="0" borderId="0" xfId="0" applyFont="1" applyFill="1" applyBorder="1" applyAlignment="1">
      <alignment horizontal="justify" vertical="center"/>
    </xf>
    <xf numFmtId="164" fontId="16" fillId="0" borderId="0" xfId="0" applyNumberFormat="1" applyFont="1" applyFill="1" applyBorder="1" applyAlignment="1">
      <alignment horizontal="center" vertical="center"/>
    </xf>
    <xf numFmtId="167" fontId="16" fillId="0" borderId="0" xfId="0" applyNumberFormat="1" applyFont="1" applyFill="1" applyAlignment="1">
      <alignment horizontal="center" vertical="center"/>
    </xf>
    <xf numFmtId="173" fontId="16" fillId="0" borderId="0" xfId="7" applyFont="1"/>
    <xf numFmtId="176" fontId="16" fillId="2" borderId="0" xfId="0" applyNumberFormat="1" applyFont="1" applyFill="1" applyAlignment="1">
      <alignment vertical="center"/>
    </xf>
    <xf numFmtId="4" fontId="40" fillId="0" borderId="0" xfId="0" applyNumberFormat="1" applyFont="1" applyFill="1" applyBorder="1" applyAlignment="1"/>
    <xf numFmtId="0" fontId="16" fillId="0" borderId="0" xfId="0" applyFont="1" applyBorder="1"/>
    <xf numFmtId="0" fontId="2" fillId="2" borderId="0" xfId="0" applyFont="1" applyFill="1" applyAlignment="1">
      <alignment horizontal="center" wrapText="1"/>
    </xf>
    <xf numFmtId="164" fontId="16" fillId="2" borderId="0" xfId="0" applyNumberFormat="1" applyFont="1" applyFill="1" applyAlignment="1">
      <alignment horizontal="center" vertical="center"/>
    </xf>
    <xf numFmtId="0" fontId="7" fillId="2" borderId="0" xfId="0" applyFont="1" applyFill="1" applyAlignment="1">
      <alignment horizontal="center"/>
    </xf>
    <xf numFmtId="0" fontId="7" fillId="2" borderId="0" xfId="0" applyFont="1" applyFill="1"/>
    <xf numFmtId="43" fontId="7" fillId="0" borderId="3" xfId="16" applyFont="1" applyBorder="1" applyAlignment="1">
      <alignment horizontal="center" vertical="center"/>
    </xf>
    <xf numFmtId="174" fontId="6" fillId="0" borderId="3" xfId="16" applyNumberFormat="1" applyFont="1" applyBorder="1" applyAlignment="1">
      <alignment horizontal="center" vertical="center"/>
    </xf>
    <xf numFmtId="0" fontId="7" fillId="0" borderId="0" xfId="0" applyFont="1" applyAlignment="1">
      <alignment horizontal="center"/>
    </xf>
    <xf numFmtId="0" fontId="6" fillId="3" borderId="2" xfId="0" applyFont="1" applyFill="1" applyBorder="1" applyAlignment="1">
      <alignment horizontal="center" vertical="center" textRotation="90" wrapText="1"/>
    </xf>
    <xf numFmtId="0" fontId="2" fillId="5" borderId="10" xfId="0" applyFont="1" applyFill="1" applyBorder="1" applyAlignment="1">
      <alignment vertical="center"/>
    </xf>
    <xf numFmtId="0" fontId="2" fillId="5" borderId="17" xfId="0" applyFont="1" applyFill="1" applyBorder="1" applyAlignment="1">
      <alignment vertical="center"/>
    </xf>
    <xf numFmtId="164" fontId="2" fillId="6" borderId="2" xfId="0" applyNumberFormat="1" applyFont="1" applyFill="1" applyBorder="1" applyAlignment="1">
      <alignment horizontal="center" vertical="center"/>
    </xf>
    <xf numFmtId="1" fontId="2" fillId="6" borderId="2" xfId="0" applyNumberFormat="1" applyFont="1" applyFill="1" applyBorder="1" applyAlignment="1">
      <alignment horizontal="center" vertical="center"/>
    </xf>
    <xf numFmtId="4" fontId="18" fillId="8" borderId="2"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4" fontId="18" fillId="8" borderId="12" xfId="0" applyNumberFormat="1" applyFont="1" applyFill="1" applyBorder="1" applyAlignment="1">
      <alignment horizontal="center" vertical="center" wrapText="1"/>
    </xf>
    <xf numFmtId="4" fontId="18" fillId="8" borderId="7" xfId="0" applyNumberFormat="1" applyFont="1" applyFill="1" applyBorder="1" applyAlignment="1">
      <alignment horizontal="center" vertical="center" wrapText="1"/>
    </xf>
    <xf numFmtId="4" fontId="3" fillId="0" borderId="2" xfId="17"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3" fillId="0" borderId="2" xfId="18" applyFont="1" applyBorder="1" applyAlignment="1">
      <alignment horizontal="center" vertical="center"/>
    </xf>
    <xf numFmtId="0" fontId="16" fillId="0" borderId="2" xfId="0" applyFont="1" applyBorder="1" applyAlignment="1">
      <alignment horizontal="justify" vertical="center" wrapText="1"/>
    </xf>
    <xf numFmtId="4" fontId="3" fillId="0" borderId="2" xfId="17" applyNumberFormat="1" applyFont="1" applyBorder="1" applyAlignment="1">
      <alignment horizontal="center" vertical="center"/>
    </xf>
    <xf numFmtId="0" fontId="3" fillId="6" borderId="15" xfId="0" applyFont="1" applyFill="1" applyBorder="1"/>
    <xf numFmtId="0" fontId="3" fillId="6" borderId="6" xfId="0" applyFont="1" applyFill="1" applyBorder="1" applyAlignment="1">
      <alignment horizontal="justify" vertical="center" wrapText="1"/>
    </xf>
    <xf numFmtId="0" fontId="3" fillId="6" borderId="15" xfId="0" applyFont="1" applyFill="1" applyBorder="1" applyAlignment="1">
      <alignment horizontal="center"/>
    </xf>
    <xf numFmtId="165" fontId="3" fillId="6" borderId="2" xfId="0" applyNumberFormat="1" applyFont="1" applyFill="1" applyBorder="1" applyAlignment="1">
      <alignment horizontal="center" vertical="center"/>
    </xf>
    <xf numFmtId="43" fontId="3" fillId="6" borderId="15" xfId="0" applyNumberFormat="1" applyFont="1" applyFill="1" applyBorder="1" applyAlignment="1">
      <alignment horizontal="center" vertical="center"/>
    </xf>
    <xf numFmtId="14" fontId="3" fillId="6" borderId="2" xfId="0" applyNumberFormat="1" applyFont="1" applyFill="1" applyBorder="1" applyAlignment="1">
      <alignment horizontal="center" vertical="center"/>
    </xf>
    <xf numFmtId="1" fontId="3" fillId="0" borderId="5" xfId="0" applyNumberFormat="1" applyFont="1" applyBorder="1"/>
    <xf numFmtId="1" fontId="3" fillId="0" borderId="7" xfId="0" applyNumberFormat="1" applyFont="1" applyBorder="1"/>
    <xf numFmtId="43" fontId="3" fillId="0" borderId="2" xfId="11" applyNumberFormat="1" applyFont="1" applyBorder="1" applyAlignment="1">
      <alignment vertical="center" wrapText="1"/>
    </xf>
    <xf numFmtId="4" fontId="7" fillId="0" borderId="2" xfId="17" applyNumberFormat="1" applyFont="1" applyFill="1" applyBorder="1" applyAlignment="1">
      <alignment horizontal="center" vertical="center" wrapText="1"/>
    </xf>
    <xf numFmtId="14"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43" fontId="3" fillId="2" borderId="0" xfId="0" applyNumberFormat="1" applyFont="1" applyFill="1" applyAlignment="1">
      <alignment vertical="center"/>
    </xf>
    <xf numFmtId="1" fontId="41" fillId="0" borderId="0" xfId="0" applyNumberFormat="1" applyFont="1"/>
    <xf numFmtId="0" fontId="16" fillId="2" borderId="0" xfId="0" applyFont="1" applyFill="1" applyBorder="1" applyAlignment="1">
      <alignment horizontal="justify" vertical="center"/>
    </xf>
    <xf numFmtId="173" fontId="3" fillId="0" borderId="0" xfId="14" applyFont="1" applyFill="1" applyBorder="1" applyAlignment="1">
      <alignment vertical="center"/>
    </xf>
    <xf numFmtId="1" fontId="16"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43" fontId="6" fillId="0" borderId="0" xfId="4" applyFont="1" applyFill="1" applyBorder="1" applyAlignment="1" applyProtection="1">
      <alignment horizontal="right" vertical="center"/>
      <protection locked="0"/>
    </xf>
    <xf numFmtId="0" fontId="6" fillId="0" borderId="47" xfId="0" applyFont="1" applyBorder="1" applyAlignment="1">
      <alignment horizontal="center" vertical="center"/>
    </xf>
    <xf numFmtId="0" fontId="6" fillId="0" borderId="52" xfId="0" applyFont="1" applyBorder="1" applyAlignment="1">
      <alignment horizontal="center" vertical="center"/>
    </xf>
    <xf numFmtId="172" fontId="6" fillId="0" borderId="10" xfId="0" applyNumberFormat="1" applyFont="1" applyBorder="1" applyAlignment="1">
      <alignment horizontal="center" vertical="center"/>
    </xf>
    <xf numFmtId="0" fontId="3" fillId="0" borderId="13" xfId="0" applyFont="1" applyBorder="1" applyAlignment="1">
      <alignment horizontal="center" vertical="center"/>
    </xf>
    <xf numFmtId="17" fontId="6" fillId="0" borderId="10" xfId="0" applyNumberFormat="1" applyFont="1" applyBorder="1" applyAlignment="1">
      <alignment horizontal="center" vertical="center"/>
    </xf>
    <xf numFmtId="3" fontId="6" fillId="10" borderId="10"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175" fontId="6" fillId="0" borderId="3" xfId="8" applyFont="1" applyBorder="1" applyAlignment="1">
      <alignment horizontal="center" vertical="center"/>
    </xf>
    <xf numFmtId="173" fontId="7" fillId="0" borderId="3" xfId="14" applyFont="1" applyBorder="1" applyAlignment="1">
      <alignment horizontal="center" vertical="center"/>
    </xf>
    <xf numFmtId="174" fontId="6" fillId="0" borderId="3" xfId="14" applyNumberFormat="1" applyFont="1" applyBorder="1" applyAlignment="1">
      <alignment horizontal="center" vertical="center"/>
    </xf>
    <xf numFmtId="0" fontId="7" fillId="0" borderId="13" xfId="0" applyFont="1" applyBorder="1" applyAlignment="1">
      <alignment horizontal="center" vertical="center"/>
    </xf>
    <xf numFmtId="0" fontId="6" fillId="4" borderId="2" xfId="0" applyFont="1" applyFill="1" applyBorder="1" applyAlignment="1">
      <alignment vertical="center" wrapText="1"/>
    </xf>
    <xf numFmtId="0" fontId="3" fillId="2" borderId="13" xfId="0" applyFont="1" applyFill="1" applyBorder="1" applyAlignment="1">
      <alignment horizontal="center" vertical="center"/>
    </xf>
    <xf numFmtId="0" fontId="6" fillId="5" borderId="8"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5" xfId="0" applyFont="1" applyFill="1" applyBorder="1" applyAlignment="1">
      <alignment horizontal="center" vertical="center" wrapText="1"/>
    </xf>
    <xf numFmtId="165" fontId="2" fillId="5" borderId="5" xfId="0" applyNumberFormat="1" applyFont="1" applyFill="1" applyBorder="1" applyAlignment="1">
      <alignment horizontal="center" vertical="center"/>
    </xf>
    <xf numFmtId="175" fontId="2" fillId="5" borderId="5" xfId="8" applyFont="1" applyFill="1" applyBorder="1" applyAlignment="1">
      <alignment horizontal="center" vertical="center"/>
    </xf>
    <xf numFmtId="1" fontId="2" fillId="5" borderId="5" xfId="0" applyNumberFormat="1" applyFont="1" applyFill="1" applyBorder="1" applyAlignment="1">
      <alignment horizontal="center" vertical="center"/>
    </xf>
    <xf numFmtId="167" fontId="2" fillId="5" borderId="5" xfId="0" applyNumberFormat="1" applyFont="1" applyFill="1" applyBorder="1" applyAlignment="1">
      <alignment horizontal="center" vertical="center"/>
    </xf>
    <xf numFmtId="0" fontId="2" fillId="5" borderId="7" xfId="0" applyFont="1" applyFill="1" applyBorder="1" applyAlignment="1">
      <alignment horizontal="center" vertical="center"/>
    </xf>
    <xf numFmtId="0" fontId="6" fillId="6" borderId="1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2" fillId="6" borderId="11" xfId="0" applyFont="1" applyFill="1" applyBorder="1" applyAlignment="1">
      <alignment horizontal="center" vertical="center" wrapText="1"/>
    </xf>
    <xf numFmtId="175" fontId="2" fillId="6" borderId="11" xfId="8" applyFont="1" applyFill="1" applyBorder="1" applyAlignment="1">
      <alignment horizontal="center" vertical="center"/>
    </xf>
    <xf numFmtId="1" fontId="2" fillId="6" borderId="11" xfId="0" applyNumberFormat="1" applyFont="1" applyFill="1" applyBorder="1" applyAlignment="1">
      <alignment horizontal="center" vertical="center"/>
    </xf>
    <xf numFmtId="0" fontId="2" fillId="6" borderId="12" xfId="0" applyFont="1" applyFill="1" applyBorder="1" applyAlignment="1">
      <alignment horizontal="center" vertical="center"/>
    </xf>
    <xf numFmtId="0" fontId="7" fillId="0" borderId="2" xfId="5" applyNumberFormat="1" applyFont="1" applyFill="1" applyBorder="1" applyAlignment="1">
      <alignment horizontal="justify" vertical="center" wrapText="1"/>
    </xf>
    <xf numFmtId="0" fontId="3" fillId="2" borderId="6" xfId="0" applyFont="1" applyFill="1" applyBorder="1" applyAlignment="1">
      <alignment horizontal="center" vertical="center" wrapText="1"/>
    </xf>
    <xf numFmtId="180" fontId="7" fillId="0" borderId="15" xfId="6" applyNumberFormat="1" applyFont="1" applyBorder="1" applyAlignment="1">
      <alignment horizontal="center" vertical="center"/>
    </xf>
    <xf numFmtId="180" fontId="7" fillId="0" borderId="2" xfId="6" applyNumberFormat="1" applyFont="1" applyBorder="1" applyAlignment="1">
      <alignment horizontal="center" vertical="center"/>
    </xf>
    <xf numFmtId="0" fontId="2" fillId="6" borderId="2" xfId="0" applyFont="1" applyFill="1" applyBorder="1" applyAlignment="1">
      <alignment horizontal="center" vertical="center" wrapText="1"/>
    </xf>
    <xf numFmtId="180" fontId="2" fillId="6" borderId="11" xfId="6" applyNumberFormat="1" applyFont="1" applyFill="1" applyBorder="1" applyAlignment="1">
      <alignment horizontal="center" vertical="center"/>
    </xf>
    <xf numFmtId="0" fontId="2" fillId="6" borderId="12" xfId="0" applyFont="1" applyFill="1" applyBorder="1" applyAlignment="1">
      <alignment horizontal="center" vertical="center" wrapText="1"/>
    </xf>
    <xf numFmtId="1" fontId="3" fillId="0" borderId="13" xfId="0" applyNumberFormat="1"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10" xfId="0" applyFont="1" applyFill="1" applyBorder="1" applyAlignment="1">
      <alignment horizontal="center" vertical="center"/>
    </xf>
    <xf numFmtId="0" fontId="2" fillId="0" borderId="1" xfId="0" applyFont="1" applyBorder="1" applyAlignment="1">
      <alignment horizontal="center" vertical="center" wrapText="1"/>
    </xf>
    <xf numFmtId="180" fontId="3" fillId="0" borderId="2" xfId="6" applyNumberFormat="1" applyFont="1" applyFill="1" applyBorder="1" applyAlignment="1">
      <alignment horizontal="center" vertical="center" wrapText="1"/>
    </xf>
    <xf numFmtId="1" fontId="2" fillId="0" borderId="30" xfId="0" applyNumberFormat="1" applyFont="1" applyBorder="1" applyAlignment="1">
      <alignment horizontal="center" vertical="center"/>
    </xf>
    <xf numFmtId="0" fontId="2" fillId="0" borderId="29" xfId="0" applyFont="1" applyBorder="1" applyAlignment="1">
      <alignment horizontal="center" vertical="center" wrapText="1"/>
    </xf>
    <xf numFmtId="1" fontId="3" fillId="0" borderId="30" xfId="0" applyNumberFormat="1" applyFont="1" applyBorder="1" applyAlignment="1">
      <alignment horizontal="center" vertical="center"/>
    </xf>
    <xf numFmtId="180" fontId="7" fillId="0" borderId="2" xfId="6"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180" fontId="2" fillId="6" borderId="5" xfId="6" applyNumberFormat="1" applyFont="1" applyFill="1" applyBorder="1" applyAlignment="1">
      <alignment horizontal="center" vertical="center"/>
    </xf>
    <xf numFmtId="1" fontId="2" fillId="6" borderId="5" xfId="0" applyNumberFormat="1"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180" fontId="3" fillId="0" borderId="2" xfId="6" applyNumberFormat="1" applyFont="1" applyFill="1" applyBorder="1" applyAlignment="1">
      <alignment horizontal="center" vertical="center"/>
    </xf>
    <xf numFmtId="0" fontId="3" fillId="0" borderId="30" xfId="0" applyFont="1" applyBorder="1" applyAlignment="1">
      <alignment horizontal="center" vertical="center" wrapText="1"/>
    </xf>
    <xf numFmtId="0" fontId="7" fillId="6" borderId="3" xfId="0" applyFont="1" applyFill="1" applyBorder="1" applyAlignment="1">
      <alignment horizontal="center" vertical="center"/>
    </xf>
    <xf numFmtId="180" fontId="2" fillId="6" borderId="3" xfId="6" applyNumberFormat="1" applyFont="1" applyFill="1" applyBorder="1" applyAlignment="1">
      <alignment horizontal="center" vertical="center"/>
    </xf>
    <xf numFmtId="1" fontId="2" fillId="6" borderId="3" xfId="0" applyNumberFormat="1" applyFont="1" applyFill="1" applyBorder="1" applyAlignment="1">
      <alignment horizontal="center" vertical="center"/>
    </xf>
    <xf numFmtId="0" fontId="2" fillId="6" borderId="3" xfId="0" applyFont="1" applyFill="1" applyBorder="1" applyAlignment="1">
      <alignment horizontal="center" vertical="center" wrapText="1"/>
    </xf>
    <xf numFmtId="167" fontId="2" fillId="6" borderId="3" xfId="0" applyNumberFormat="1" applyFont="1" applyFill="1" applyBorder="1" applyAlignment="1">
      <alignment horizontal="center" vertical="center"/>
    </xf>
    <xf numFmtId="0" fontId="2" fillId="6" borderId="4" xfId="0" applyFont="1" applyFill="1" applyBorder="1" applyAlignment="1">
      <alignment horizontal="center" vertical="center" wrapText="1"/>
    </xf>
    <xf numFmtId="0" fontId="7" fillId="0" borderId="11" xfId="0" applyFont="1" applyBorder="1" applyAlignment="1">
      <alignment horizontal="justify" vertical="center" wrapText="1"/>
    </xf>
    <xf numFmtId="180" fontId="3" fillId="0" borderId="17" xfId="6" applyNumberFormat="1" applyFont="1" applyFill="1" applyBorder="1" applyAlignment="1">
      <alignment horizontal="center" vertical="center"/>
    </xf>
    <xf numFmtId="0" fontId="7" fillId="0" borderId="19" xfId="0" applyFont="1" applyBorder="1" applyAlignment="1">
      <alignment horizontal="justify" vertical="center" wrapText="1"/>
    </xf>
    <xf numFmtId="180" fontId="7" fillId="0" borderId="17" xfId="6" applyNumberFormat="1" applyFont="1" applyFill="1" applyBorder="1" applyAlignment="1">
      <alignment horizontal="center" vertical="center"/>
    </xf>
    <xf numFmtId="0" fontId="6" fillId="6" borderId="7" xfId="0" applyFont="1" applyFill="1" applyBorder="1" applyAlignment="1">
      <alignment horizontal="center" vertical="center" wrapText="1"/>
    </xf>
    <xf numFmtId="180" fontId="3" fillId="0" borderId="17" xfId="6" applyNumberFormat="1" applyFont="1" applyBorder="1" applyAlignment="1">
      <alignment horizontal="center" vertical="center"/>
    </xf>
    <xf numFmtId="180" fontId="3" fillId="0" borderId="24" xfId="6" applyNumberFormat="1" applyFont="1" applyBorder="1" applyAlignment="1">
      <alignment horizontal="center" vertical="center"/>
    </xf>
    <xf numFmtId="0" fontId="6" fillId="5"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180" fontId="2" fillId="5" borderId="11" xfId="6" applyNumberFormat="1" applyFont="1" applyFill="1" applyBorder="1" applyAlignment="1">
      <alignment horizontal="center" vertical="center"/>
    </xf>
    <xf numFmtId="0" fontId="2" fillId="5"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3" fillId="2" borderId="2" xfId="3" applyNumberFormat="1" applyFont="1" applyFill="1" applyBorder="1" applyAlignment="1">
      <alignment horizontal="center" vertical="center"/>
    </xf>
    <xf numFmtId="180" fontId="7" fillId="0" borderId="9" xfId="6" applyNumberFormat="1" applyFont="1" applyBorder="1" applyAlignment="1">
      <alignment horizontal="center" vertical="center"/>
    </xf>
    <xf numFmtId="1" fontId="3" fillId="0" borderId="6" xfId="0" applyNumberFormat="1" applyFont="1" applyBorder="1" applyAlignment="1">
      <alignment horizontal="center" vertical="center"/>
    </xf>
    <xf numFmtId="0" fontId="2" fillId="5" borderId="12" xfId="0" applyFont="1" applyFill="1" applyBorder="1" applyAlignment="1">
      <alignment horizontal="center" vertical="center" wrapText="1"/>
    </xf>
    <xf numFmtId="180" fontId="18" fillId="0" borderId="29" xfId="6" applyNumberFormat="1" applyFont="1" applyFill="1" applyBorder="1" applyAlignment="1">
      <alignment horizontal="center" vertical="center" wrapText="1"/>
    </xf>
    <xf numFmtId="0" fontId="18" fillId="0" borderId="38" xfId="5" applyNumberFormat="1" applyFont="1" applyFill="1" applyBorder="1" applyAlignment="1">
      <alignment horizontal="justify" vertical="center" wrapText="1"/>
    </xf>
    <xf numFmtId="180" fontId="18" fillId="0" borderId="17" xfId="6" applyNumberFormat="1" applyFont="1" applyFill="1" applyBorder="1" applyAlignment="1">
      <alignment horizontal="center" vertical="center" wrapText="1"/>
    </xf>
    <xf numFmtId="180" fontId="18" fillId="0" borderId="38" xfId="6" applyNumberFormat="1" applyFont="1" applyFill="1" applyBorder="1" applyAlignment="1">
      <alignment horizontal="center" vertical="center" wrapText="1"/>
    </xf>
    <xf numFmtId="0" fontId="18" fillId="0" borderId="39" xfId="5" applyNumberFormat="1" applyFont="1" applyFill="1" applyBorder="1" applyAlignment="1">
      <alignment horizontal="justify" vertical="center" wrapText="1"/>
    </xf>
    <xf numFmtId="180" fontId="18" fillId="0" borderId="2" xfId="6" applyNumberFormat="1" applyFont="1" applyFill="1" applyBorder="1" applyAlignment="1">
      <alignment horizontal="center" vertical="center" wrapText="1"/>
    </xf>
    <xf numFmtId="180" fontId="18" fillId="0" borderId="24" xfId="6" applyNumberFormat="1" applyFont="1" applyFill="1" applyBorder="1" applyAlignment="1">
      <alignment horizontal="center" vertical="center" wrapText="1"/>
    </xf>
    <xf numFmtId="1" fontId="3" fillId="2" borderId="38" xfId="0" applyNumberFormat="1" applyFont="1" applyFill="1" applyBorder="1" applyAlignment="1">
      <alignment horizontal="center" vertical="center" wrapText="1"/>
    </xf>
    <xf numFmtId="180" fontId="7" fillId="0" borderId="24" xfId="6" applyNumberFormat="1" applyFont="1" applyFill="1" applyBorder="1" applyAlignment="1">
      <alignment horizontal="center" vertical="center" wrapText="1"/>
    </xf>
    <xf numFmtId="1"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180" fontId="18" fillId="0" borderId="30" xfId="6" applyNumberFormat="1" applyFont="1" applyFill="1" applyBorder="1" applyAlignment="1">
      <alignment horizontal="center" vertical="center" wrapText="1"/>
    </xf>
    <xf numFmtId="0" fontId="7" fillId="0" borderId="24" xfId="5" applyNumberFormat="1" applyFont="1" applyFill="1" applyBorder="1" applyAlignment="1">
      <alignment horizontal="center" vertical="center" wrapText="1"/>
    </xf>
    <xf numFmtId="43" fontId="3" fillId="0" borderId="2" xfId="1" applyFont="1" applyBorder="1" applyAlignment="1">
      <alignment horizontal="right" vertical="center"/>
    </xf>
    <xf numFmtId="0" fontId="7" fillId="0" borderId="2" xfId="16" applyNumberFormat="1" applyFont="1" applyFill="1" applyBorder="1" applyAlignment="1">
      <alignment horizontal="center" vertical="center" wrapText="1"/>
    </xf>
    <xf numFmtId="0" fontId="7" fillId="2" borderId="2" xfId="5" applyNumberFormat="1" applyFont="1" applyFill="1" applyBorder="1" applyAlignment="1">
      <alignment horizontal="justify" vertical="center" wrapText="1"/>
    </xf>
    <xf numFmtId="167" fontId="3" fillId="0" borderId="3" xfId="0" applyNumberFormat="1" applyFont="1" applyBorder="1" applyAlignment="1">
      <alignment horizontal="center" vertical="center"/>
    </xf>
    <xf numFmtId="168" fontId="3" fillId="2" borderId="3"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167" fontId="3" fillId="0" borderId="9" xfId="0" applyNumberFormat="1" applyFont="1" applyBorder="1" applyAlignment="1">
      <alignment horizontal="center" vertical="center"/>
    </xf>
    <xf numFmtId="0" fontId="2" fillId="6" borderId="0" xfId="0" applyFont="1" applyFill="1" applyAlignment="1">
      <alignment horizontal="center" vertical="center" wrapText="1"/>
    </xf>
    <xf numFmtId="180" fontId="2" fillId="6" borderId="0" xfId="6" applyNumberFormat="1" applyFont="1" applyFill="1" applyAlignment="1">
      <alignment horizontal="center" vertical="center"/>
    </xf>
    <xf numFmtId="0" fontId="2" fillId="6" borderId="3" xfId="0" applyFont="1" applyFill="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3" fillId="0" borderId="6" xfId="0" applyFont="1" applyBorder="1" applyAlignment="1">
      <alignment horizontal="center" vertical="center"/>
    </xf>
    <xf numFmtId="0" fontId="2" fillId="0" borderId="15" xfId="0" applyFont="1" applyBorder="1" applyAlignment="1">
      <alignment horizontal="center" vertical="center"/>
    </xf>
    <xf numFmtId="0" fontId="6" fillId="6" borderId="1" xfId="0" applyFont="1" applyFill="1" applyBorder="1" applyAlignment="1">
      <alignment horizontal="center" vertical="center" wrapText="1"/>
    </xf>
    <xf numFmtId="0" fontId="6" fillId="6" borderId="0" xfId="0" applyFont="1" applyFill="1" applyAlignment="1">
      <alignment horizontal="center" vertical="center" wrapText="1"/>
    </xf>
    <xf numFmtId="0" fontId="3" fillId="0" borderId="51" xfId="0" applyFont="1" applyBorder="1" applyAlignment="1">
      <alignment horizontal="center" vertical="center" wrapText="1"/>
    </xf>
    <xf numFmtId="169" fontId="7" fillId="0" borderId="17" xfId="5" applyFont="1" applyFill="1" applyBorder="1" applyAlignment="1">
      <alignment horizontal="justify" vertical="center" wrapText="1"/>
    </xf>
    <xf numFmtId="10" fontId="3" fillId="2" borderId="23" xfId="3" applyNumberFormat="1" applyFont="1" applyFill="1" applyBorder="1" applyAlignment="1">
      <alignment horizontal="center" vertical="center"/>
    </xf>
    <xf numFmtId="169" fontId="7" fillId="0" borderId="51" xfId="5" applyFont="1" applyFill="1" applyBorder="1" applyAlignment="1">
      <alignment horizontal="justify" vertical="center" wrapText="1"/>
    </xf>
    <xf numFmtId="0" fontId="18" fillId="0" borderId="51" xfId="0" applyFont="1" applyBorder="1" applyAlignment="1">
      <alignment horizontal="center" vertical="center" wrapText="1"/>
    </xf>
    <xf numFmtId="0" fontId="18" fillId="0" borderId="29" xfId="0" applyFont="1" applyBorder="1" applyAlignment="1">
      <alignment horizontal="center" vertical="center" wrapText="1"/>
    </xf>
    <xf numFmtId="10" fontId="3" fillId="2" borderId="29" xfId="3" applyNumberFormat="1" applyFont="1" applyFill="1" applyBorder="1" applyAlignment="1">
      <alignment horizontal="center" vertical="center"/>
    </xf>
    <xf numFmtId="169" fontId="7" fillId="0" borderId="30" xfId="5" applyFont="1" applyFill="1" applyBorder="1" applyAlignment="1">
      <alignment horizontal="justify" vertical="center" wrapText="1"/>
    </xf>
    <xf numFmtId="180" fontId="2" fillId="5" borderId="3" xfId="6" applyNumberFormat="1" applyFont="1" applyFill="1" applyBorder="1" applyAlignment="1">
      <alignment horizontal="center" vertical="center"/>
    </xf>
    <xf numFmtId="0" fontId="2" fillId="5" borderId="3" xfId="0" applyFont="1" applyFill="1" applyBorder="1" applyAlignment="1">
      <alignment horizontal="justify" vertical="center" wrapText="1"/>
    </xf>
    <xf numFmtId="180" fontId="6" fillId="0" borderId="2" xfId="6" applyNumberFormat="1" applyFont="1" applyBorder="1" applyAlignment="1">
      <alignment horizontal="center" vertical="center"/>
    </xf>
    <xf numFmtId="175" fontId="3" fillId="2" borderId="0" xfId="8" applyFont="1" applyFill="1" applyAlignment="1">
      <alignment horizontal="center" vertical="center"/>
    </xf>
    <xf numFmtId="175" fontId="3" fillId="0" borderId="0" xfId="8" applyFont="1" applyFill="1" applyAlignment="1">
      <alignment horizontal="center" vertical="center"/>
    </xf>
    <xf numFmtId="43" fontId="3" fillId="2" borderId="0" xfId="0" applyNumberFormat="1" applyFont="1" applyFill="1" applyAlignment="1">
      <alignment horizontal="center" vertical="center" wrapText="1"/>
    </xf>
    <xf numFmtId="166"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2" fillId="2" borderId="0" xfId="0" applyFont="1" applyFill="1" applyAlignment="1">
      <alignment horizontal="center"/>
    </xf>
    <xf numFmtId="1" fontId="3" fillId="2" borderId="13"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wrapText="1"/>
    </xf>
    <xf numFmtId="0" fontId="6" fillId="0" borderId="3" xfId="0" applyFont="1" applyBorder="1" applyAlignment="1">
      <alignment horizontal="center" vertical="center"/>
    </xf>
    <xf numFmtId="1" fontId="3" fillId="2" borderId="9"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0" borderId="15"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2" fillId="2" borderId="0" xfId="0" applyFont="1" applyFill="1" applyAlignment="1">
      <alignment horizontal="center" wrapText="1"/>
    </xf>
    <xf numFmtId="0" fontId="6" fillId="0" borderId="6" xfId="0" applyFont="1" applyBorder="1" applyAlignment="1">
      <alignment horizontal="center" vertical="center"/>
    </xf>
    <xf numFmtId="0" fontId="3"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0" fontId="3" fillId="2" borderId="84" xfId="0" applyFont="1" applyFill="1" applyBorder="1" applyAlignment="1">
      <alignment horizontal="center" vertical="center"/>
    </xf>
    <xf numFmtId="0" fontId="3" fillId="2" borderId="85" xfId="0" applyFont="1" applyFill="1" applyBorder="1" applyAlignment="1">
      <alignment horizontal="center" vertical="center"/>
    </xf>
    <xf numFmtId="180" fontId="7" fillId="0" borderId="29" xfId="6" applyNumberFormat="1" applyFont="1" applyFill="1" applyBorder="1" applyAlignment="1">
      <alignment horizontal="center" vertical="center"/>
    </xf>
    <xf numFmtId="0" fontId="7" fillId="0" borderId="12" xfId="0" applyFont="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Border="1" applyAlignment="1">
      <alignment horizontal="center" vertical="center"/>
    </xf>
    <xf numFmtId="0" fontId="7" fillId="0" borderId="0" xfId="0" applyFont="1" applyAlignment="1">
      <alignment horizontal="justify" vertical="center" wrapText="1"/>
    </xf>
    <xf numFmtId="0" fontId="15" fillId="0" borderId="2" xfId="0" applyFont="1" applyBorder="1" applyAlignment="1">
      <alignment horizontal="center" vertical="center"/>
    </xf>
    <xf numFmtId="0" fontId="6" fillId="2" borderId="5" xfId="0" applyFont="1" applyFill="1" applyBorder="1" applyAlignment="1">
      <alignment horizontal="center" vertical="center" wrapText="1"/>
    </xf>
    <xf numFmtId="0" fontId="21" fillId="0" borderId="52" xfId="0" applyFont="1" applyBorder="1" applyAlignment="1">
      <alignment horizontal="right" vertical="center"/>
    </xf>
    <xf numFmtId="172" fontId="21" fillId="0" borderId="53" xfId="0" applyNumberFormat="1" applyFont="1" applyBorder="1" applyAlignment="1">
      <alignment horizontal="right" vertical="center"/>
    </xf>
    <xf numFmtId="17" fontId="21" fillId="0" borderId="53" xfId="0" applyNumberFormat="1" applyFont="1" applyBorder="1" applyAlignment="1">
      <alignment horizontal="right" vertical="center"/>
    </xf>
    <xf numFmtId="3" fontId="21" fillId="10" borderId="53" xfId="0" applyNumberFormat="1" applyFont="1" applyFill="1" applyBorder="1" applyAlignment="1">
      <alignment horizontal="right" vertical="center" wrapText="1"/>
    </xf>
    <xf numFmtId="43" fontId="7" fillId="0" borderId="3" xfId="4" applyFont="1" applyBorder="1" applyAlignment="1">
      <alignment horizontal="center" vertical="center"/>
    </xf>
    <xf numFmtId="174" fontId="6" fillId="0" borderId="3" xfId="4" applyNumberFormat="1" applyFont="1" applyBorder="1" applyAlignment="1">
      <alignment horizontal="center" vertical="center"/>
    </xf>
    <xf numFmtId="164" fontId="2" fillId="3" borderId="2" xfId="0" applyNumberFormat="1" applyFont="1" applyFill="1" applyBorder="1" applyAlignment="1">
      <alignment horizontal="center" vertical="center" wrapText="1"/>
    </xf>
    <xf numFmtId="164" fontId="2" fillId="3" borderId="2" xfId="0" applyNumberFormat="1" applyFont="1" applyFill="1" applyBorder="1" applyAlignment="1">
      <alignment vertical="center" wrapText="1"/>
    </xf>
    <xf numFmtId="0" fontId="6" fillId="6" borderId="7" xfId="0" applyNumberFormat="1" applyFont="1" applyFill="1" applyBorder="1" applyAlignment="1">
      <alignment horizontal="left" vertical="center" wrapText="1"/>
    </xf>
    <xf numFmtId="4" fontId="7" fillId="0" borderId="12" xfId="4" applyNumberFormat="1" applyFont="1" applyFill="1" applyBorder="1" applyAlignment="1">
      <alignment horizontal="right" vertical="center"/>
    </xf>
    <xf numFmtId="4" fontId="7" fillId="0" borderId="7" xfId="4" applyNumberFormat="1" applyFont="1" applyFill="1" applyBorder="1" applyAlignment="1">
      <alignment horizontal="right" vertical="center"/>
    </xf>
    <xf numFmtId="0" fontId="3" fillId="2" borderId="38" xfId="0" applyFont="1" applyFill="1" applyBorder="1" applyAlignment="1" applyProtection="1">
      <alignment horizontal="justify" vertical="center" wrapText="1"/>
      <protection locked="0"/>
    </xf>
    <xf numFmtId="0" fontId="3" fillId="2" borderId="17"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justify" vertical="center" wrapText="1"/>
      <protection locked="0"/>
    </xf>
    <xf numFmtId="4" fontId="7" fillId="0" borderId="9" xfId="4" applyNumberFormat="1" applyFont="1" applyFill="1" applyBorder="1" applyAlignment="1">
      <alignment horizontal="right" vertical="center"/>
    </xf>
    <xf numFmtId="4" fontId="7" fillId="2" borderId="9" xfId="4" applyNumberFormat="1" applyFont="1" applyFill="1" applyBorder="1" applyAlignment="1">
      <alignment horizontal="right" vertical="center"/>
    </xf>
    <xf numFmtId="43" fontId="2" fillId="0" borderId="15" xfId="0" applyNumberFormat="1" applyFont="1" applyFill="1" applyBorder="1" applyAlignment="1">
      <alignment horizontal="center" vertical="center"/>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2" fillId="3" borderId="9" xfId="0" applyFont="1" applyFill="1" applyBorder="1" applyAlignment="1">
      <alignment horizontal="center" vertical="center" wrapText="1"/>
    </xf>
    <xf numFmtId="0" fontId="7" fillId="0" borderId="38" xfId="0" applyFont="1" applyBorder="1" applyAlignment="1">
      <alignment horizontal="justify" vertical="center" wrapText="1"/>
    </xf>
    <xf numFmtId="0" fontId="7" fillId="0" borderId="24"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23" xfId="0" applyFont="1" applyBorder="1" applyAlignment="1">
      <alignment horizontal="justify" vertical="center" wrapText="1"/>
    </xf>
    <xf numFmtId="0" fontId="3" fillId="2" borderId="38"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3" fillId="2" borderId="17"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15" xfId="0" applyFont="1" applyBorder="1" applyAlignment="1">
      <alignment horizontal="center" vertical="center" wrapText="1"/>
    </xf>
    <xf numFmtId="0" fontId="7" fillId="0" borderId="9"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38" xfId="0" applyFont="1" applyBorder="1" applyAlignment="1">
      <alignment horizontal="center" vertical="center" wrapText="1"/>
    </xf>
    <xf numFmtId="0" fontId="3" fillId="2" borderId="30"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2" borderId="17" xfId="0" applyFont="1" applyFill="1" applyBorder="1" applyAlignment="1">
      <alignment horizontal="justify" vertical="center" wrapText="1"/>
    </xf>
    <xf numFmtId="0" fontId="7" fillId="0" borderId="2" xfId="0" applyFont="1" applyBorder="1" applyAlignment="1">
      <alignment horizontal="justify" vertical="center" wrapText="1"/>
    </xf>
    <xf numFmtId="0" fontId="3" fillId="2" borderId="1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7" fillId="2" borderId="2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2" borderId="13" xfId="0" applyFont="1" applyFill="1" applyBorder="1" applyAlignment="1">
      <alignment horizontal="justify" vertical="center" wrapText="1"/>
    </xf>
    <xf numFmtId="0" fontId="6" fillId="6" borderId="9" xfId="0" applyFont="1" applyFill="1" applyBorder="1" applyAlignment="1">
      <alignment horizontal="left" vertical="center" wrapText="1"/>
    </xf>
    <xf numFmtId="0" fontId="7" fillId="0" borderId="17" xfId="0" applyFont="1" applyBorder="1" applyAlignment="1">
      <alignment horizontal="center" vertical="center"/>
    </xf>
    <xf numFmtId="167"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7" fillId="0" borderId="25" xfId="0" applyFont="1" applyBorder="1" applyAlignment="1">
      <alignment horizontal="justify" vertical="center" wrapText="1"/>
    </xf>
    <xf numFmtId="0" fontId="7" fillId="0" borderId="2" xfId="0" applyFont="1" applyBorder="1" applyAlignment="1">
      <alignment horizontal="center" vertical="center"/>
    </xf>
    <xf numFmtId="0" fontId="15" fillId="0" borderId="2" xfId="0" applyFont="1" applyBorder="1" applyAlignment="1">
      <alignment horizontal="center" vertical="center"/>
    </xf>
    <xf numFmtId="0" fontId="2" fillId="2" borderId="1" xfId="0" applyFont="1" applyFill="1" applyBorder="1" applyAlignment="1">
      <alignment horizontal="center" vertical="center" wrapText="1"/>
    </xf>
    <xf numFmtId="0" fontId="7" fillId="2" borderId="17"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7" fillId="0" borderId="38" xfId="0" applyFont="1" applyBorder="1" applyAlignment="1">
      <alignment horizontal="center" vertical="center"/>
    </xf>
    <xf numFmtId="0" fontId="7" fillId="0" borderId="24" xfId="0" applyFont="1" applyBorder="1" applyAlignment="1">
      <alignment horizontal="center" vertical="center"/>
    </xf>
    <xf numFmtId="0" fontId="3" fillId="0" borderId="29" xfId="0" applyFont="1" applyBorder="1" applyAlignment="1">
      <alignment horizontal="center" vertical="center" wrapText="1"/>
    </xf>
    <xf numFmtId="0" fontId="3" fillId="0" borderId="26" xfId="0" applyFont="1" applyBorder="1" applyAlignment="1">
      <alignment horizontal="justify" vertical="center" wrapText="1"/>
    </xf>
    <xf numFmtId="0" fontId="3" fillId="0" borderId="15" xfId="0" applyFont="1" applyBorder="1" applyAlignment="1">
      <alignment horizontal="justify" vertical="center" wrapText="1"/>
    </xf>
    <xf numFmtId="1" fontId="7" fillId="0" borderId="17" xfId="0" applyNumberFormat="1" applyFont="1" applyBorder="1" applyAlignment="1">
      <alignment horizontal="center" vertical="center"/>
    </xf>
    <xf numFmtId="1" fontId="7" fillId="0" borderId="38" xfId="0" applyNumberFormat="1" applyFont="1" applyBorder="1" applyAlignment="1">
      <alignment horizontal="center" vertical="center" wrapText="1"/>
    </xf>
    <xf numFmtId="0" fontId="7" fillId="0" borderId="1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7" fillId="0" borderId="9" xfId="0" applyFont="1" applyFill="1" applyBorder="1" applyAlignment="1">
      <alignment horizontal="center" vertical="center" wrapText="1"/>
    </xf>
    <xf numFmtId="1" fontId="3" fillId="2" borderId="17" xfId="0" applyNumberFormat="1" applyFont="1" applyFill="1" applyBorder="1" applyAlignment="1">
      <alignment horizontal="center" vertical="center"/>
    </xf>
    <xf numFmtId="0" fontId="6" fillId="6" borderId="15" xfId="0" applyFont="1" applyFill="1" applyBorder="1" applyAlignment="1">
      <alignment horizontal="left" vertical="center" wrapText="1"/>
    </xf>
    <xf numFmtId="0" fontId="7" fillId="2" borderId="6"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0" xfId="0" applyFont="1" applyAlignment="1">
      <alignment horizontal="center" vertical="center" wrapText="1"/>
    </xf>
    <xf numFmtId="0" fontId="7" fillId="0" borderId="13"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9" xfId="0" applyFont="1" applyBorder="1" applyAlignment="1">
      <alignment horizontal="justify" vertical="center" wrapText="1"/>
    </xf>
    <xf numFmtId="0" fontId="3" fillId="0" borderId="29" xfId="0" applyFont="1" applyFill="1" applyBorder="1" applyAlignment="1">
      <alignment horizontal="center" vertical="center" wrapText="1"/>
    </xf>
    <xf numFmtId="9" fontId="3" fillId="0" borderId="2" xfId="3"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8" xfId="0" applyFont="1" applyBorder="1" applyAlignment="1">
      <alignment horizontal="justify" vertical="center" wrapText="1"/>
    </xf>
    <xf numFmtId="0" fontId="7" fillId="0" borderId="4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3" borderId="9" xfId="0" applyFont="1" applyFill="1" applyBorder="1" applyAlignment="1">
      <alignment horizontal="center" vertical="center" textRotation="90" wrapText="1"/>
    </xf>
    <xf numFmtId="49" fontId="5" fillId="3" borderId="9" xfId="0" applyNumberFormat="1"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29"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17" xfId="0" applyFont="1" applyFill="1" applyBorder="1" applyAlignment="1">
      <alignment horizontal="center" vertical="center"/>
    </xf>
    <xf numFmtId="0" fontId="7" fillId="0" borderId="2" xfId="0" applyFont="1" applyFill="1" applyBorder="1" applyAlignment="1">
      <alignment horizontal="center" vertical="center"/>
    </xf>
    <xf numFmtId="0" fontId="7" fillId="2" borderId="23" xfId="0" applyFont="1" applyFill="1" applyBorder="1" applyAlignment="1">
      <alignment horizontal="justify" vertical="center" wrapText="1"/>
    </xf>
    <xf numFmtId="0" fontId="6" fillId="2" borderId="5" xfId="0" applyFont="1" applyFill="1" applyBorder="1" applyAlignment="1">
      <alignment horizontal="center" vertical="center" wrapText="1"/>
    </xf>
    <xf numFmtId="0" fontId="26" fillId="0" borderId="12" xfId="0" applyFont="1" applyFill="1" applyBorder="1" applyAlignment="1">
      <alignment horizontal="center" vertical="center" wrapText="1"/>
    </xf>
    <xf numFmtId="169" fontId="29" fillId="0" borderId="2" xfId="5" applyFont="1" applyFill="1" applyBorder="1" applyAlignment="1">
      <alignment horizontal="justify" vertical="center" wrapText="1"/>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wrapText="1"/>
    </xf>
    <xf numFmtId="0" fontId="3" fillId="2" borderId="83" xfId="0"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166" fontId="6" fillId="3" borderId="11" xfId="0" applyNumberFormat="1" applyFont="1" applyFill="1" applyBorder="1" applyAlignment="1">
      <alignment horizontal="center" vertical="center" wrapText="1"/>
    </xf>
    <xf numFmtId="0" fontId="6" fillId="5" borderId="8" xfId="0" applyFont="1" applyFill="1" applyBorder="1" applyAlignment="1">
      <alignment vertical="center"/>
    </xf>
    <xf numFmtId="165" fontId="6" fillId="5" borderId="11" xfId="0" applyNumberFormat="1" applyFont="1" applyFill="1" applyBorder="1" applyAlignment="1">
      <alignment horizontal="center" vertical="center"/>
    </xf>
    <xf numFmtId="166" fontId="6" fillId="5" borderId="11" xfId="0" applyNumberFormat="1" applyFont="1" applyFill="1" applyBorder="1" applyAlignment="1">
      <alignment horizontal="center" vertical="center"/>
    </xf>
    <xf numFmtId="0" fontId="6" fillId="5" borderId="11" xfId="0" applyFont="1" applyFill="1" applyBorder="1" applyAlignment="1">
      <alignment horizontal="left" vertical="center" wrapText="1"/>
    </xf>
    <xf numFmtId="166" fontId="6" fillId="5" borderId="23"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167" fontId="6" fillId="5" borderId="11" xfId="0" applyNumberFormat="1" applyFont="1" applyFill="1" applyBorder="1" applyAlignment="1">
      <alignment horizontal="center" vertical="center"/>
    </xf>
    <xf numFmtId="0" fontId="6" fillId="5" borderId="12" xfId="0" applyFont="1" applyFill="1" applyBorder="1" applyAlignment="1">
      <alignment horizontal="justify" vertical="center"/>
    </xf>
    <xf numFmtId="1" fontId="6" fillId="2" borderId="8"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6" borderId="1" xfId="0" applyFont="1" applyFill="1" applyBorder="1" applyAlignment="1">
      <alignment horizontal="left" vertical="center" wrapText="1"/>
    </xf>
    <xf numFmtId="165" fontId="6" fillId="6" borderId="0" xfId="0" applyNumberFormat="1" applyFont="1" applyFill="1" applyAlignment="1">
      <alignment horizontal="center" vertical="center"/>
    </xf>
    <xf numFmtId="166" fontId="6" fillId="6" borderId="0" xfId="0" applyNumberFormat="1" applyFont="1" applyFill="1" applyAlignment="1">
      <alignment horizontal="center" vertical="center"/>
    </xf>
    <xf numFmtId="166" fontId="6" fillId="6" borderId="17" xfId="0" applyNumberFormat="1" applyFont="1" applyFill="1" applyBorder="1" applyAlignment="1">
      <alignment horizontal="center" vertical="center"/>
    </xf>
    <xf numFmtId="1" fontId="6" fillId="6" borderId="0" xfId="0" applyNumberFormat="1" applyFont="1" applyFill="1" applyAlignment="1">
      <alignment horizontal="center" vertical="center"/>
    </xf>
    <xf numFmtId="167" fontId="6" fillId="6" borderId="0" xfId="0" applyNumberFormat="1" applyFont="1" applyFill="1" applyAlignment="1">
      <alignment horizontal="center" vertical="center"/>
    </xf>
    <xf numFmtId="0" fontId="6" fillId="6" borderId="1" xfId="0" applyFont="1" applyFill="1" applyBorder="1" applyAlignment="1">
      <alignment horizontal="justify" vertical="center"/>
    </xf>
    <xf numFmtId="1" fontId="7" fillId="2" borderId="13"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1" fontId="7" fillId="0" borderId="30" xfId="0" applyNumberFormat="1" applyFont="1" applyBorder="1" applyAlignment="1">
      <alignment horizontal="center" vertical="center" wrapText="1"/>
    </xf>
    <xf numFmtId="0" fontId="7" fillId="2" borderId="0" xfId="0" applyFont="1" applyFill="1" applyAlignment="1">
      <alignment horizontal="center" vertical="center" wrapText="1"/>
    </xf>
    <xf numFmtId="3" fontId="7" fillId="2" borderId="23" xfId="0" applyNumberFormat="1" applyFont="1" applyFill="1" applyBorder="1" applyAlignment="1">
      <alignment horizontal="left" vertical="center" wrapText="1"/>
    </xf>
    <xf numFmtId="3" fontId="7" fillId="2" borderId="29" xfId="0" applyNumberFormat="1" applyFont="1" applyFill="1" applyBorder="1" applyAlignment="1">
      <alignment horizontal="left" vertical="center" wrapText="1"/>
    </xf>
    <xf numFmtId="1" fontId="7" fillId="0" borderId="30" xfId="0" applyNumberFormat="1" applyFont="1" applyFill="1" applyBorder="1" applyAlignment="1">
      <alignment horizontal="center" vertical="center" wrapText="1"/>
    </xf>
    <xf numFmtId="1" fontId="6" fillId="2" borderId="8" xfId="0" applyNumberFormat="1" applyFont="1" applyFill="1" applyBorder="1" applyAlignment="1">
      <alignment vertical="center" wrapText="1"/>
    </xf>
    <xf numFmtId="1" fontId="6" fillId="2" borderId="5" xfId="0" applyNumberFormat="1" applyFont="1" applyFill="1" applyBorder="1" applyAlignment="1">
      <alignment vertical="center" wrapText="1"/>
    </xf>
    <xf numFmtId="1" fontId="6" fillId="2" borderId="7" xfId="0" applyNumberFormat="1" applyFont="1" applyFill="1" applyBorder="1" applyAlignment="1">
      <alignment vertical="center" wrapText="1"/>
    </xf>
    <xf numFmtId="0" fontId="6" fillId="6" borderId="12" xfId="0" applyFont="1" applyFill="1" applyBorder="1" applyAlignment="1">
      <alignment horizontal="left" vertical="center" wrapText="1"/>
    </xf>
    <xf numFmtId="167" fontId="6" fillId="6" borderId="5" xfId="0" applyNumberFormat="1" applyFont="1" applyFill="1" applyBorder="1" applyAlignment="1">
      <alignment horizontal="center" vertical="center"/>
    </xf>
    <xf numFmtId="0" fontId="6" fillId="6" borderId="7" xfId="0" applyFont="1" applyFill="1" applyBorder="1" applyAlignment="1">
      <alignment horizontal="justify" vertical="center" wrapText="1"/>
    </xf>
    <xf numFmtId="1" fontId="6" fillId="2" borderId="13" xfId="0" applyNumberFormat="1" applyFont="1" applyFill="1" applyBorder="1" applyAlignment="1">
      <alignment vertical="center" wrapText="1"/>
    </xf>
    <xf numFmtId="1" fontId="6" fillId="2" borderId="0" xfId="0" applyNumberFormat="1" applyFont="1" applyFill="1" applyAlignment="1">
      <alignment vertical="center" wrapText="1"/>
    </xf>
    <xf numFmtId="1" fontId="6" fillId="2" borderId="1" xfId="0" applyNumberFormat="1" applyFont="1" applyFill="1" applyBorder="1" applyAlignment="1">
      <alignment vertical="center" wrapText="1"/>
    </xf>
    <xf numFmtId="0" fontId="7" fillId="2" borderId="5" xfId="0" applyFont="1" applyFill="1" applyBorder="1" applyAlignment="1">
      <alignment vertical="center" wrapText="1"/>
    </xf>
    <xf numFmtId="0" fontId="7" fillId="2" borderId="0" xfId="0" applyFont="1" applyFill="1" applyAlignment="1">
      <alignment vertical="center" wrapText="1"/>
    </xf>
    <xf numFmtId="0" fontId="7" fillId="2" borderId="8" xfId="0" applyFont="1" applyFill="1" applyBorder="1" applyAlignment="1">
      <alignment vertical="center" wrapText="1"/>
    </xf>
    <xf numFmtId="0" fontId="7" fillId="2" borderId="7" xfId="0" applyFont="1" applyFill="1" applyBorder="1" applyAlignment="1">
      <alignment vertical="center" wrapText="1"/>
    </xf>
    <xf numFmtId="0" fontId="7" fillId="0" borderId="29" xfId="0" applyFont="1" applyFill="1" applyBorder="1" applyAlignment="1">
      <alignment horizontal="left" vertical="center" wrapText="1"/>
    </xf>
    <xf numFmtId="1" fontId="6" fillId="2" borderId="6" xfId="0" applyNumberFormat="1" applyFont="1" applyFill="1" applyBorder="1" applyAlignment="1">
      <alignment vertical="center" wrapText="1"/>
    </xf>
    <xf numFmtId="1" fontId="6" fillId="2" borderId="3" xfId="0" applyNumberFormat="1" applyFont="1" applyFill="1" applyBorder="1" applyAlignment="1">
      <alignment vertical="center" wrapText="1"/>
    </xf>
    <xf numFmtId="1" fontId="7" fillId="0" borderId="42" xfId="0" applyNumberFormat="1" applyFont="1" applyFill="1" applyBorder="1" applyAlignment="1">
      <alignment horizontal="center" vertical="center" wrapText="1"/>
    </xf>
    <xf numFmtId="0" fontId="6" fillId="6" borderId="4" xfId="0" applyFont="1" applyFill="1" applyBorder="1" applyAlignment="1">
      <alignment horizontal="justify" vertical="center" wrapText="1"/>
    </xf>
    <xf numFmtId="0" fontId="6" fillId="6" borderId="3" xfId="0" applyFont="1" applyFill="1" applyBorder="1" applyAlignment="1">
      <alignment horizontal="left" vertical="center" wrapText="1"/>
    </xf>
    <xf numFmtId="1" fontId="6" fillId="6" borderId="2" xfId="0" applyNumberFormat="1" applyFont="1" applyFill="1" applyBorder="1" applyAlignment="1">
      <alignment horizontal="center" vertical="center"/>
    </xf>
    <xf numFmtId="167" fontId="6" fillId="6" borderId="11" xfId="0" applyNumberFormat="1" applyFont="1" applyFill="1" applyBorder="1" applyAlignment="1">
      <alignment horizontal="center" vertical="center"/>
    </xf>
    <xf numFmtId="0" fontId="6" fillId="6" borderId="12" xfId="0" applyFont="1" applyFill="1" applyBorder="1" applyAlignment="1">
      <alignment horizontal="justify" vertical="center" wrapText="1"/>
    </xf>
    <xf numFmtId="1" fontId="7" fillId="0" borderId="25" xfId="0" applyNumberFormat="1" applyFont="1" applyFill="1" applyBorder="1" applyAlignment="1">
      <alignment horizontal="center" vertical="center" wrapText="1"/>
    </xf>
    <xf numFmtId="1" fontId="7" fillId="0" borderId="0" xfId="0" applyNumberFormat="1" applyFont="1"/>
    <xf numFmtId="0" fontId="7" fillId="0" borderId="0" xfId="0" applyFont="1" applyAlignment="1">
      <alignment horizontal="center"/>
    </xf>
    <xf numFmtId="0" fontId="7" fillId="2" borderId="8" xfId="0" applyFont="1" applyFill="1" applyBorder="1" applyAlignment="1">
      <alignment horizontal="left" vertical="center" wrapText="1"/>
    </xf>
    <xf numFmtId="0" fontId="7" fillId="0" borderId="13" xfId="0" applyFont="1" applyBorder="1" applyAlignment="1">
      <alignment horizontal="center"/>
    </xf>
    <xf numFmtId="0" fontId="7" fillId="0" borderId="1" xfId="0" applyFont="1" applyBorder="1" applyAlignment="1">
      <alignment horizontal="center"/>
    </xf>
    <xf numFmtId="0" fontId="7" fillId="0" borderId="13" xfId="0" applyFont="1" applyBorder="1"/>
    <xf numFmtId="0" fontId="7" fillId="0" borderId="1" xfId="0" applyFont="1" applyBorder="1"/>
    <xf numFmtId="0" fontId="7" fillId="2" borderId="22" xfId="0" applyFont="1" applyFill="1" applyBorder="1" applyAlignment="1">
      <alignment horizontal="justify" vertical="center" wrapText="1"/>
    </xf>
    <xf numFmtId="0" fontId="7" fillId="0" borderId="6" xfId="0" applyFont="1" applyBorder="1"/>
    <xf numFmtId="0" fontId="6" fillId="6" borderId="10" xfId="0" applyFont="1" applyFill="1" applyBorder="1" applyAlignment="1">
      <alignment horizontal="left" vertical="center"/>
    </xf>
    <xf numFmtId="0" fontId="6" fillId="6" borderId="10" xfId="0" applyFont="1" applyFill="1" applyBorder="1" applyAlignment="1">
      <alignment horizontal="left" vertical="center" wrapText="1"/>
    </xf>
    <xf numFmtId="1" fontId="6" fillId="6" borderId="11" xfId="0" applyNumberFormat="1" applyFont="1" applyFill="1" applyBorder="1" applyAlignment="1">
      <alignment horizontal="center" vertical="center"/>
    </xf>
    <xf numFmtId="0" fontId="7" fillId="2" borderId="24" xfId="0" applyFont="1" applyFill="1" applyBorder="1" applyAlignment="1">
      <alignment horizontal="left" vertical="center" wrapText="1"/>
    </xf>
    <xf numFmtId="1" fontId="7" fillId="0" borderId="25" xfId="0" applyNumberFormat="1" applyFont="1" applyBorder="1" applyAlignment="1">
      <alignment horizontal="center" vertical="center" wrapText="1"/>
    </xf>
    <xf numFmtId="0" fontId="7" fillId="2" borderId="38" xfId="0" applyFont="1" applyFill="1" applyBorder="1" applyAlignment="1">
      <alignment horizontal="left" vertical="center" wrapText="1"/>
    </xf>
    <xf numFmtId="1" fontId="7" fillId="0" borderId="42" xfId="0" applyNumberFormat="1" applyFont="1" applyBorder="1" applyAlignment="1">
      <alignment horizontal="center" vertical="center" wrapText="1"/>
    </xf>
    <xf numFmtId="0" fontId="6" fillId="6" borderId="11" xfId="0" applyFont="1" applyFill="1" applyBorder="1" applyAlignment="1">
      <alignment horizontal="left" vertical="center" wrapText="1"/>
    </xf>
    <xf numFmtId="1" fontId="6" fillId="2" borderId="41" xfId="0" applyNumberFormat="1" applyFont="1" applyFill="1" applyBorder="1" applyAlignment="1">
      <alignment vertical="center" wrapText="1"/>
    </xf>
    <xf numFmtId="170" fontId="7" fillId="2" borderId="0" xfId="6" applyFont="1" applyFill="1" applyAlignment="1">
      <alignment horizontal="justify" vertical="center" wrapText="1"/>
    </xf>
    <xf numFmtId="0" fontId="7" fillId="2" borderId="0" xfId="0" applyFont="1" applyFill="1" applyAlignment="1">
      <alignment horizontal="justify" vertical="center" wrapText="1"/>
    </xf>
    <xf numFmtId="0" fontId="7" fillId="2" borderId="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3" xfId="0" applyFont="1" applyFill="1" applyBorder="1" applyAlignment="1">
      <alignment horizontal="left" vertical="center" wrapText="1"/>
    </xf>
    <xf numFmtId="1" fontId="6" fillId="2" borderId="23" xfId="0" applyNumberFormat="1" applyFont="1" applyFill="1" applyBorder="1" applyAlignment="1">
      <alignment vertical="center" wrapText="1"/>
    </xf>
    <xf numFmtId="1" fontId="6" fillId="2" borderId="56" xfId="0" applyNumberFormat="1" applyFont="1" applyFill="1" applyBorder="1" applyAlignment="1">
      <alignment vertical="center" wrapText="1"/>
    </xf>
    <xf numFmtId="1" fontId="6" fillId="2" borderId="4" xfId="0" applyNumberFormat="1" applyFont="1" applyFill="1" applyBorder="1" applyAlignment="1">
      <alignment vertical="center" wrapText="1"/>
    </xf>
    <xf numFmtId="0" fontId="6" fillId="5" borderId="3" xfId="0" applyFont="1" applyFill="1" applyBorder="1" applyAlignment="1">
      <alignment vertical="center"/>
    </xf>
    <xf numFmtId="0" fontId="6" fillId="5" borderId="3" xfId="0" applyFont="1" applyFill="1" applyBorder="1" applyAlignment="1">
      <alignment horizontal="left" vertical="center" wrapText="1"/>
    </xf>
    <xf numFmtId="167" fontId="6" fillId="5" borderId="3" xfId="0" applyNumberFormat="1" applyFont="1" applyFill="1" applyBorder="1" applyAlignment="1">
      <alignment horizontal="center" vertical="center"/>
    </xf>
    <xf numFmtId="0" fontId="6" fillId="5" borderId="4" xfId="0" applyFont="1" applyFill="1" applyBorder="1" applyAlignment="1">
      <alignment horizontal="justify" vertical="center" wrapText="1"/>
    </xf>
    <xf numFmtId="0" fontId="6" fillId="6" borderId="3" xfId="0" applyFont="1" applyFill="1" applyBorder="1" applyAlignment="1">
      <alignment vertical="center"/>
    </xf>
    <xf numFmtId="167" fontId="6" fillId="6" borderId="3" xfId="0" applyNumberFormat="1" applyFont="1" applyFill="1" applyBorder="1" applyAlignment="1">
      <alignment horizontal="center" vertical="center"/>
    </xf>
    <xf numFmtId="1" fontId="7" fillId="0" borderId="13" xfId="0" applyNumberFormat="1" applyFont="1" applyBorder="1"/>
    <xf numFmtId="1" fontId="7" fillId="2" borderId="30"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1" fontId="6" fillId="2" borderId="13"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9" fontId="6" fillId="6" borderId="0" xfId="3" applyFont="1" applyFill="1" applyAlignment="1">
      <alignment horizontal="center" vertical="center"/>
    </xf>
    <xf numFmtId="0" fontId="7" fillId="0" borderId="5" xfId="0" applyFont="1" applyBorder="1"/>
    <xf numFmtId="0" fontId="7" fillId="2" borderId="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0" borderId="0" xfId="0" applyFont="1" applyFill="1"/>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170" fontId="7" fillId="0" borderId="0" xfId="6" applyFont="1" applyFill="1" applyAlignment="1">
      <alignment horizontal="justify" vertical="center"/>
    </xf>
    <xf numFmtId="170" fontId="7" fillId="0" borderId="0" xfId="6" applyFont="1" applyAlignment="1">
      <alignment horizontal="justify" vertical="center"/>
    </xf>
    <xf numFmtId="170" fontId="7" fillId="0" borderId="0" xfId="0" applyNumberFormat="1" applyFont="1"/>
    <xf numFmtId="175" fontId="7" fillId="0" borderId="0" xfId="0" applyNumberFormat="1" applyFont="1" applyFill="1"/>
    <xf numFmtId="176" fontId="7" fillId="0" borderId="0" xfId="0" applyNumberFormat="1" applyFont="1"/>
    <xf numFmtId="0" fontId="7" fillId="0" borderId="8" xfId="0" applyFont="1" applyFill="1" applyBorder="1" applyAlignment="1">
      <alignment horizontal="left" vertical="center" wrapText="1"/>
    </xf>
    <xf numFmtId="170" fontId="7" fillId="0" borderId="0" xfId="0" applyNumberFormat="1" applyFont="1" applyFill="1"/>
    <xf numFmtId="1" fontId="7" fillId="0" borderId="6" xfId="0" applyNumberFormat="1" applyFont="1" applyBorder="1"/>
    <xf numFmtId="0" fontId="7" fillId="0" borderId="3" xfId="0" applyFont="1" applyBorder="1"/>
    <xf numFmtId="0" fontId="7" fillId="0" borderId="4" xfId="0" applyFont="1" applyBorder="1"/>
    <xf numFmtId="9" fontId="6" fillId="5" borderId="11" xfId="3" applyFont="1" applyFill="1" applyBorder="1" applyAlignment="1">
      <alignment horizontal="center" vertical="center"/>
    </xf>
    <xf numFmtId="1" fontId="6" fillId="5" borderId="82" xfId="0" applyNumberFormat="1" applyFont="1" applyFill="1" applyBorder="1" applyAlignment="1">
      <alignment horizontal="center" vertical="center"/>
    </xf>
    <xf numFmtId="0" fontId="6" fillId="6" borderId="4" xfId="0" applyFont="1" applyFill="1" applyBorder="1" applyAlignment="1">
      <alignment horizontal="center" vertical="center"/>
    </xf>
    <xf numFmtId="0" fontId="7" fillId="0" borderId="7" xfId="0" applyFont="1" applyBorder="1"/>
    <xf numFmtId="9" fontId="7" fillId="0" borderId="15" xfId="3" applyFont="1" applyFill="1" applyBorder="1" applyAlignment="1">
      <alignment horizontal="center" vertical="center"/>
    </xf>
    <xf numFmtId="1" fontId="7" fillId="0" borderId="30" xfId="0" applyNumberFormat="1" applyFont="1" applyBorder="1" applyAlignment="1">
      <alignment horizontal="center" vertical="center"/>
    </xf>
    <xf numFmtId="0" fontId="7" fillId="2" borderId="29" xfId="0" applyFont="1" applyFill="1" applyBorder="1" applyAlignment="1">
      <alignment horizontal="left" vertical="center" wrapText="1"/>
    </xf>
    <xf numFmtId="1" fontId="7" fillId="0" borderId="17" xfId="0" applyNumberFormat="1" applyFont="1" applyBorder="1" applyAlignment="1">
      <alignment horizontal="center" vertical="center" wrapText="1"/>
    </xf>
    <xf numFmtId="0" fontId="7" fillId="0" borderId="39" xfId="0" applyFont="1" applyBorder="1" applyAlignment="1">
      <alignment horizontal="center" vertical="center" wrapText="1"/>
    </xf>
    <xf numFmtId="1" fontId="7" fillId="0" borderId="3" xfId="0" applyNumberFormat="1" applyFont="1" applyBorder="1"/>
    <xf numFmtId="1" fontId="7" fillId="0" borderId="4" xfId="0" applyNumberFormat="1" applyFont="1" applyBorder="1"/>
    <xf numFmtId="1" fontId="7" fillId="0" borderId="11" xfId="0" applyNumberFormat="1" applyFont="1" applyBorder="1"/>
    <xf numFmtId="1" fontId="7" fillId="0" borderId="12" xfId="0" applyNumberFormat="1" applyFont="1" applyBorder="1"/>
    <xf numFmtId="0" fontId="7" fillId="0" borderId="2" xfId="0" applyFont="1" applyBorder="1" applyAlignment="1">
      <alignment horizontal="center"/>
    </xf>
    <xf numFmtId="0" fontId="7" fillId="0" borderId="10" xfId="0" applyFont="1" applyBorder="1" applyAlignment="1">
      <alignment horizontal="center"/>
    </xf>
    <xf numFmtId="0" fontId="7" fillId="2" borderId="17" xfId="0" applyFont="1" applyFill="1" applyBorder="1" applyAlignment="1">
      <alignment horizontal="center"/>
    </xf>
    <xf numFmtId="165" fontId="7" fillId="2" borderId="17" xfId="0" applyNumberFormat="1" applyFont="1" applyFill="1" applyBorder="1" applyAlignment="1">
      <alignment horizontal="center" vertical="center"/>
    </xf>
    <xf numFmtId="0" fontId="7" fillId="0" borderId="17" xfId="0" applyFont="1" applyBorder="1" applyAlignment="1">
      <alignment horizontal="left" vertical="center" wrapText="1"/>
    </xf>
    <xf numFmtId="1" fontId="7" fillId="2" borderId="17" xfId="0" applyNumberFormat="1" applyFont="1" applyFill="1" applyBorder="1" applyAlignment="1">
      <alignment horizontal="center" vertical="center"/>
    </xf>
    <xf numFmtId="0" fontId="7" fillId="0" borderId="17" xfId="0" applyFont="1" applyBorder="1" applyAlignment="1">
      <alignment horizontal="center"/>
    </xf>
    <xf numFmtId="0" fontId="7" fillId="0" borderId="12" xfId="0" applyFont="1" applyBorder="1" applyAlignment="1">
      <alignment horizontal="center"/>
    </xf>
    <xf numFmtId="167" fontId="7" fillId="0" borderId="2" xfId="0" applyNumberFormat="1" applyFont="1" applyBorder="1" applyAlignment="1">
      <alignment horizontal="center" vertical="center"/>
    </xf>
    <xf numFmtId="167" fontId="7" fillId="0" borderId="2" xfId="0" applyNumberFormat="1" applyFont="1" applyBorder="1" applyAlignment="1">
      <alignment horizontal="center"/>
    </xf>
    <xf numFmtId="0" fontId="7" fillId="0" borderId="2" xfId="0" applyFont="1" applyBorder="1" applyAlignment="1">
      <alignment horizontal="justify" vertical="center"/>
    </xf>
    <xf numFmtId="165" fontId="7" fillId="2" borderId="0" xfId="0" applyNumberFormat="1" applyFont="1" applyFill="1" applyAlignment="1">
      <alignment horizontal="center" vertical="center"/>
    </xf>
    <xf numFmtId="166" fontId="7" fillId="2" borderId="0" xfId="0" applyNumberFormat="1" applyFont="1" applyFill="1" applyAlignment="1">
      <alignment horizontal="center" vertical="center"/>
    </xf>
    <xf numFmtId="0" fontId="7" fillId="2" borderId="0" xfId="0" applyFont="1" applyFill="1" applyAlignment="1">
      <alignment horizontal="left" vertical="center" wrapText="1"/>
    </xf>
    <xf numFmtId="176" fontId="7" fillId="2" borderId="0" xfId="0" applyNumberFormat="1" applyFont="1" applyFill="1" applyAlignment="1">
      <alignment horizontal="center" vertical="center"/>
    </xf>
    <xf numFmtId="1" fontId="7" fillId="2" borderId="0" xfId="0" applyNumberFormat="1" applyFont="1" applyFill="1" applyAlignment="1">
      <alignment horizontal="center" vertical="center"/>
    </xf>
    <xf numFmtId="167" fontId="7" fillId="0" borderId="0" xfId="0" applyNumberFormat="1" applyFont="1" applyAlignment="1">
      <alignment horizontal="center" vertical="center"/>
    </xf>
    <xf numFmtId="167" fontId="7" fillId="0" borderId="0" xfId="0" applyNumberFormat="1" applyFont="1" applyAlignment="1">
      <alignment horizontal="center"/>
    </xf>
    <xf numFmtId="0" fontId="7" fillId="0" borderId="0" xfId="0" applyFont="1" applyAlignment="1">
      <alignment horizontal="justify" vertical="center"/>
    </xf>
    <xf numFmtId="165" fontId="7" fillId="0" borderId="0" xfId="0" applyNumberFormat="1" applyFont="1" applyAlignment="1">
      <alignment horizontal="center" vertical="center"/>
    </xf>
    <xf numFmtId="4" fontId="6" fillId="0" borderId="0" xfId="0" applyNumberFormat="1" applyFont="1" applyAlignment="1">
      <alignment horizontal="center"/>
    </xf>
    <xf numFmtId="0" fontId="7" fillId="0" borderId="0" xfId="0" applyFont="1" applyAlignment="1">
      <alignment horizontal="left" vertical="center" wrapText="1"/>
    </xf>
    <xf numFmtId="183" fontId="7" fillId="2" borderId="0" xfId="0" applyNumberFormat="1" applyFont="1" applyFill="1" applyAlignment="1">
      <alignment horizontal="justify" vertical="center" wrapText="1"/>
    </xf>
    <xf numFmtId="166" fontId="7" fillId="0" borderId="0" xfId="0" applyNumberFormat="1" applyFont="1" applyAlignment="1">
      <alignment horizontal="center" vertical="center"/>
    </xf>
    <xf numFmtId="166" fontId="7" fillId="2" borderId="3" xfId="0" applyNumberFormat="1" applyFont="1" applyFill="1" applyBorder="1" applyAlignment="1">
      <alignment vertical="center"/>
    </xf>
    <xf numFmtId="0" fontId="7" fillId="2" borderId="3" xfId="0" applyFont="1" applyFill="1" applyBorder="1" applyAlignment="1">
      <alignment horizontal="justify" vertical="center"/>
    </xf>
    <xf numFmtId="0" fontId="7" fillId="0" borderId="3" xfId="0" applyFont="1" applyBorder="1" applyAlignment="1">
      <alignment horizontal="center"/>
    </xf>
    <xf numFmtId="0" fontId="6" fillId="0" borderId="0" xfId="0" applyFont="1"/>
    <xf numFmtId="0" fontId="7" fillId="2" borderId="0" xfId="0" applyFont="1" applyFill="1" applyAlignment="1">
      <alignment horizontal="justify" vertical="center"/>
    </xf>
    <xf numFmtId="166" fontId="7" fillId="2" borderId="0" xfId="0" applyNumberFormat="1" applyFont="1" applyFill="1" applyAlignment="1">
      <alignment vertical="center"/>
    </xf>
    <xf numFmtId="1" fontId="23" fillId="0" borderId="0" xfId="0" applyNumberFormat="1" applyFont="1"/>
    <xf numFmtId="0" fontId="23" fillId="0" borderId="0" xfId="0" applyFont="1" applyAlignment="1">
      <alignment horizontal="center"/>
    </xf>
    <xf numFmtId="0" fontId="23" fillId="2" borderId="0" xfId="0" applyFont="1" applyFill="1" applyAlignment="1">
      <alignment horizontal="justify" vertical="center" wrapText="1"/>
    </xf>
    <xf numFmtId="0" fontId="23" fillId="2" borderId="0" xfId="0" applyFont="1" applyFill="1"/>
    <xf numFmtId="0" fontId="23" fillId="2" borderId="0" xfId="0" applyFont="1" applyFill="1" applyAlignment="1">
      <alignment horizontal="center" vertical="center" wrapText="1"/>
    </xf>
    <xf numFmtId="0" fontId="23" fillId="2" borderId="0" xfId="0" applyFont="1" applyFill="1" applyAlignment="1">
      <alignment horizontal="center"/>
    </xf>
    <xf numFmtId="165" fontId="23" fillId="2" borderId="0" xfId="0" applyNumberFormat="1" applyFont="1" applyFill="1" applyAlignment="1">
      <alignment horizontal="center" vertical="center"/>
    </xf>
    <xf numFmtId="166" fontId="23" fillId="2" borderId="0" xfId="0" applyNumberFormat="1" applyFont="1" applyFill="1" applyAlignment="1">
      <alignment horizontal="center" vertical="center"/>
    </xf>
    <xf numFmtId="0" fontId="23" fillId="2" borderId="0" xfId="0" applyFont="1" applyFill="1" applyAlignment="1">
      <alignment horizontal="left" vertical="center" wrapText="1"/>
    </xf>
    <xf numFmtId="166" fontId="23" fillId="0" borderId="0" xfId="0" applyNumberFormat="1" applyFont="1" applyAlignment="1">
      <alignment horizontal="center" vertical="center"/>
    </xf>
    <xf numFmtId="1" fontId="23" fillId="2" borderId="0" xfId="0" applyNumberFormat="1" applyFont="1" applyFill="1" applyAlignment="1">
      <alignment horizontal="center" vertical="center"/>
    </xf>
    <xf numFmtId="167" fontId="23" fillId="0" borderId="0" xfId="0" applyNumberFormat="1" applyFont="1" applyAlignment="1">
      <alignment horizontal="center" vertical="center"/>
    </xf>
    <xf numFmtId="167" fontId="23" fillId="0" borderId="0" xfId="0" applyNumberFormat="1" applyFont="1" applyAlignment="1">
      <alignment horizontal="center"/>
    </xf>
    <xf numFmtId="0" fontId="23" fillId="0" borderId="0" xfId="0" applyFont="1" applyAlignment="1">
      <alignment horizontal="justify" vertical="center"/>
    </xf>
    <xf numFmtId="43" fontId="3" fillId="0" borderId="2" xfId="1" applyFont="1" applyBorder="1" applyAlignment="1">
      <alignment horizontal="center" vertical="center" wrapText="1"/>
    </xf>
    <xf numFmtId="0" fontId="7" fillId="2" borderId="24" xfId="0" applyFont="1" applyFill="1" applyBorder="1"/>
    <xf numFmtId="0" fontId="18" fillId="0" borderId="12" xfId="0" applyFont="1" applyFill="1" applyBorder="1" applyAlignment="1">
      <alignment horizontal="center" vertical="center" wrapText="1"/>
    </xf>
    <xf numFmtId="0" fontId="6" fillId="0" borderId="13" xfId="0" applyNumberFormat="1" applyFont="1" applyFill="1" applyBorder="1" applyAlignment="1">
      <alignment horizontal="left" vertical="center" wrapText="1"/>
    </xf>
    <xf numFmtId="0" fontId="3" fillId="6"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43" fontId="3" fillId="6" borderId="2" xfId="1" applyFont="1" applyFill="1" applyBorder="1" applyAlignment="1">
      <alignment vertical="center"/>
    </xf>
    <xf numFmtId="43" fontId="3" fillId="0" borderId="2" xfId="1" applyFont="1" applyFill="1" applyBorder="1" applyAlignment="1">
      <alignment vertical="center"/>
    </xf>
    <xf numFmtId="43" fontId="3" fillId="6" borderId="17" xfId="1" applyFont="1" applyFill="1" applyBorder="1" applyAlignment="1">
      <alignment vertical="center"/>
    </xf>
    <xf numFmtId="43" fontId="3" fillId="6" borderId="14" xfId="1" applyFont="1" applyFill="1" applyBorder="1" applyAlignment="1">
      <alignment vertical="center"/>
    </xf>
    <xf numFmtId="43" fontId="3" fillId="6" borderId="15" xfId="1" applyFont="1" applyFill="1" applyBorder="1" applyAlignment="1">
      <alignment vertical="center"/>
    </xf>
    <xf numFmtId="43" fontId="3" fillId="5" borderId="2" xfId="1" applyFont="1" applyFill="1" applyBorder="1" applyAlignment="1">
      <alignment vertical="center"/>
    </xf>
    <xf numFmtId="43" fontId="3" fillId="2" borderId="2" xfId="1" applyFont="1" applyFill="1" applyBorder="1" applyAlignment="1">
      <alignment vertical="center"/>
    </xf>
    <xf numFmtId="0" fontId="6" fillId="6" borderId="14"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5" borderId="15" xfId="0" applyFont="1" applyFill="1" applyBorder="1" applyAlignment="1">
      <alignment horizontal="center" vertical="center" wrapText="1"/>
    </xf>
    <xf numFmtId="43" fontId="6" fillId="0" borderId="15" xfId="1" applyFont="1" applyFill="1" applyBorder="1" applyAlignment="1">
      <alignment vertical="center"/>
    </xf>
    <xf numFmtId="43" fontId="3" fillId="0" borderId="17" xfId="1" applyFont="1" applyFill="1" applyBorder="1" applyAlignment="1">
      <alignment horizontal="center" vertical="center"/>
    </xf>
    <xf numFmtId="43" fontId="3" fillId="0" borderId="17" xfId="1" applyFont="1" applyBorder="1" applyAlignment="1">
      <alignment horizontal="center" vertical="center"/>
    </xf>
    <xf numFmtId="43" fontId="3" fillId="6" borderId="15" xfId="1" applyFont="1" applyFill="1" applyBorder="1" applyAlignment="1">
      <alignment horizontal="center" vertical="center" wrapText="1"/>
    </xf>
    <xf numFmtId="43" fontId="7" fillId="0" borderId="2" xfId="1" applyFont="1" applyFill="1" applyBorder="1" applyAlignment="1">
      <alignment horizontal="right" vertical="center" wrapText="1"/>
    </xf>
    <xf numFmtId="43" fontId="7" fillId="0" borderId="10" xfId="1" applyFont="1" applyFill="1" applyBorder="1" applyAlignment="1">
      <alignment horizontal="right" vertical="center" wrapText="1"/>
    </xf>
    <xf numFmtId="43" fontId="7" fillId="0" borderId="11" xfId="1" applyFont="1" applyFill="1" applyBorder="1" applyAlignment="1">
      <alignment horizontal="right" vertical="center" wrapText="1"/>
    </xf>
    <xf numFmtId="43" fontId="7" fillId="0" borderId="6" xfId="1" applyFont="1" applyFill="1" applyBorder="1" applyAlignment="1">
      <alignment horizontal="right" vertical="center" wrapText="1"/>
    </xf>
    <xf numFmtId="43" fontId="7" fillId="0" borderId="13" xfId="1" applyFont="1" applyFill="1" applyBorder="1" applyAlignment="1">
      <alignment horizontal="right" vertical="center" wrapText="1"/>
    </xf>
    <xf numFmtId="43" fontId="3" fillId="0" borderId="17" xfId="1" applyFont="1" applyFill="1" applyBorder="1" applyAlignment="1">
      <alignment horizontal="center" vertical="center" wrapText="1"/>
    </xf>
    <xf numFmtId="43" fontId="3" fillId="0" borderId="24" xfId="1" applyFont="1" applyFill="1" applyBorder="1" applyAlignment="1">
      <alignment horizontal="center" vertical="center" wrapText="1"/>
    </xf>
    <xf numFmtId="43" fontId="3" fillId="0" borderId="15" xfId="1" applyFont="1" applyFill="1" applyBorder="1" applyAlignment="1">
      <alignment horizontal="center" vertical="center" wrapText="1"/>
    </xf>
    <xf numFmtId="43" fontId="3" fillId="0" borderId="4" xfId="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2" borderId="38" xfId="1" applyFont="1" applyFill="1" applyBorder="1" applyAlignment="1">
      <alignment vertical="center" wrapText="1"/>
    </xf>
    <xf numFmtId="43" fontId="3" fillId="0" borderId="2" xfId="1" applyFont="1" applyFill="1" applyBorder="1" applyAlignment="1">
      <alignment vertical="center" wrapText="1"/>
    </xf>
    <xf numFmtId="43" fontId="3" fillId="0" borderId="2" xfId="1" applyFont="1" applyFill="1" applyBorder="1" applyAlignment="1">
      <alignment horizontal="center" vertical="center" wrapText="1"/>
    </xf>
    <xf numFmtId="43" fontId="7" fillId="0" borderId="24" xfId="1" applyFont="1" applyFill="1" applyBorder="1" applyAlignment="1">
      <alignment horizontal="right" vertical="center" wrapText="1"/>
    </xf>
    <xf numFmtId="43" fontId="7" fillId="0" borderId="17" xfId="1" applyFont="1" applyFill="1" applyBorder="1" applyAlignment="1">
      <alignment horizontal="right" vertical="center" wrapText="1"/>
    </xf>
    <xf numFmtId="43" fontId="7" fillId="0" borderId="38" xfId="1" applyFont="1" applyFill="1" applyBorder="1" applyAlignment="1">
      <alignment horizontal="right" vertical="center" wrapText="1"/>
    </xf>
    <xf numFmtId="43" fontId="7" fillId="0" borderId="26" xfId="1" applyFont="1" applyFill="1" applyBorder="1" applyAlignment="1">
      <alignment horizontal="right" vertical="center" wrapText="1"/>
    </xf>
    <xf numFmtId="4" fontId="3" fillId="0" borderId="2" xfId="8" applyNumberFormat="1" applyFont="1" applyBorder="1" applyAlignment="1">
      <alignment horizontal="right" vertical="center"/>
    </xf>
    <xf numFmtId="43" fontId="2" fillId="0" borderId="2" xfId="0" applyNumberFormat="1" applyFont="1" applyBorder="1" applyAlignment="1">
      <alignment horizontal="right" vertical="center"/>
    </xf>
    <xf numFmtId="43" fontId="3" fillId="6" borderId="15" xfId="1" applyFont="1" applyFill="1" applyBorder="1" applyAlignment="1">
      <alignment horizontal="right" vertical="center" wrapText="1"/>
    </xf>
    <xf numFmtId="43" fontId="6" fillId="0" borderId="15" xfId="1" applyFont="1" applyFill="1" applyBorder="1" applyAlignment="1">
      <alignment horizontal="right" vertical="center"/>
    </xf>
    <xf numFmtId="4" fontId="2" fillId="0" borderId="2" xfId="0" applyNumberFormat="1" applyFont="1" applyFill="1" applyBorder="1" applyAlignment="1">
      <alignment horizontal="right" vertical="center"/>
    </xf>
    <xf numFmtId="43" fontId="6" fillId="6" borderId="0" xfId="1" applyFont="1" applyFill="1" applyAlignment="1">
      <alignment horizontal="center" vertical="center"/>
    </xf>
    <xf numFmtId="43" fontId="6" fillId="6" borderId="3" xfId="1" applyFont="1" applyFill="1" applyBorder="1" applyAlignment="1">
      <alignment horizontal="center" vertical="center"/>
    </xf>
    <xf numFmtId="43" fontId="6" fillId="6" borderId="11" xfId="1" applyFont="1" applyFill="1" applyBorder="1" applyAlignment="1">
      <alignment horizontal="center" vertical="center"/>
    </xf>
    <xf numFmtId="43" fontId="6" fillId="5" borderId="3" xfId="1" applyFont="1" applyFill="1" applyBorder="1" applyAlignment="1">
      <alignment horizontal="center" vertical="center"/>
    </xf>
    <xf numFmtId="43" fontId="6" fillId="5" borderId="11" xfId="1" applyFont="1" applyFill="1" applyBorder="1" applyAlignment="1">
      <alignment horizontal="center" vertical="center"/>
    </xf>
    <xf numFmtId="43" fontId="6" fillId="0" borderId="17" xfId="1" applyFont="1" applyBorder="1" applyAlignment="1">
      <alignment horizontal="center" vertical="center"/>
    </xf>
    <xf numFmtId="43" fontId="7" fillId="0" borderId="30" xfId="1" applyFont="1" applyFill="1" applyBorder="1" applyAlignment="1">
      <alignment horizontal="center" vertical="center"/>
    </xf>
    <xf numFmtId="43" fontId="7" fillId="0" borderId="17" xfId="1" applyFont="1" applyFill="1" applyBorder="1" applyAlignment="1">
      <alignment horizontal="center" vertical="center"/>
    </xf>
    <xf numFmtId="43" fontId="6" fillId="6" borderId="17" xfId="1" applyFont="1" applyFill="1" applyBorder="1" applyAlignment="1">
      <alignment horizontal="center" vertical="center"/>
    </xf>
    <xf numFmtId="43" fontId="6" fillId="6" borderId="0" xfId="1" applyFont="1" applyFill="1" applyAlignment="1">
      <alignment horizontal="left" vertical="center" wrapText="1"/>
    </xf>
    <xf numFmtId="43" fontId="7" fillId="0" borderId="17" xfId="1" applyFont="1" applyFill="1" applyBorder="1" applyAlignment="1">
      <alignment vertical="center"/>
    </xf>
    <xf numFmtId="43" fontId="6" fillId="6" borderId="29" xfId="1" applyFont="1" applyFill="1" applyBorder="1" applyAlignment="1">
      <alignment horizontal="center" vertical="center"/>
    </xf>
    <xf numFmtId="43" fontId="7" fillId="0" borderId="42" xfId="1" applyFont="1" applyFill="1" applyBorder="1" applyAlignment="1">
      <alignment horizontal="center" vertical="center"/>
    </xf>
    <xf numFmtId="43" fontId="6" fillId="6" borderId="86" xfId="1" applyFont="1" applyFill="1" applyBorder="1" applyAlignment="1">
      <alignment horizontal="center" vertical="center"/>
    </xf>
    <xf numFmtId="43" fontId="7" fillId="0" borderId="24" xfId="1" applyFont="1" applyFill="1" applyBorder="1" applyAlignment="1">
      <alignment horizontal="center" vertical="center"/>
    </xf>
    <xf numFmtId="43" fontId="7" fillId="0" borderId="38" xfId="1" applyFont="1" applyFill="1" applyBorder="1" applyAlignment="1">
      <alignment horizontal="center" vertical="center"/>
    </xf>
    <xf numFmtId="43" fontId="7" fillId="0" borderId="2" xfId="1" applyFont="1" applyFill="1" applyBorder="1" applyAlignment="1">
      <alignment horizontal="center" vertical="center" wrapText="1"/>
    </xf>
    <xf numFmtId="43" fontId="7" fillId="0" borderId="15" xfId="1" applyFont="1" applyFill="1" applyBorder="1" applyAlignment="1">
      <alignment horizontal="center" vertical="center" wrapText="1"/>
    </xf>
    <xf numFmtId="43" fontId="7" fillId="0" borderId="4" xfId="1" applyFont="1" applyFill="1" applyBorder="1" applyAlignment="1">
      <alignment horizontal="center" vertical="center" wrapText="1"/>
    </xf>
    <xf numFmtId="43" fontId="6" fillId="5" borderId="17" xfId="1" applyFont="1" applyFill="1" applyBorder="1" applyAlignment="1">
      <alignment horizontal="center" vertical="center"/>
    </xf>
    <xf numFmtId="43" fontId="6" fillId="6" borderId="38" xfId="1" applyFont="1" applyFill="1" applyBorder="1" applyAlignment="1">
      <alignment horizontal="center" vertical="center"/>
    </xf>
    <xf numFmtId="43" fontId="7" fillId="0" borderId="2" xfId="1" applyFont="1" applyFill="1" applyBorder="1" applyAlignment="1">
      <alignment horizontal="center" vertical="center"/>
    </xf>
    <xf numFmtId="43" fontId="6" fillId="6" borderId="0" xfId="1" applyFont="1" applyFill="1" applyBorder="1" applyAlignment="1">
      <alignment horizontal="left" vertical="center" wrapText="1"/>
    </xf>
    <xf numFmtId="43" fontId="7" fillId="0" borderId="38" xfId="1" applyFont="1" applyFill="1" applyBorder="1" applyAlignment="1">
      <alignment vertical="center"/>
    </xf>
    <xf numFmtId="0" fontId="7" fillId="0" borderId="87" xfId="0" applyFont="1" applyBorder="1" applyAlignment="1">
      <alignment horizontal="center" vertical="center" wrapText="1"/>
    </xf>
    <xf numFmtId="0" fontId="3" fillId="2" borderId="10" xfId="0" applyFont="1" applyFill="1" applyBorder="1" applyAlignment="1">
      <alignment horizontal="center" vertical="center" wrapText="1"/>
    </xf>
    <xf numFmtId="4" fontId="7" fillId="0" borderId="6" xfId="0" applyNumberFormat="1" applyFont="1" applyFill="1" applyBorder="1" applyAlignment="1">
      <alignment horizontal="right" vertical="center"/>
    </xf>
    <xf numFmtId="4" fontId="7" fillId="0" borderId="8" xfId="0" applyNumberFormat="1" applyFont="1" applyFill="1" applyBorder="1" applyAlignment="1">
      <alignment horizontal="right" vertical="center"/>
    </xf>
    <xf numFmtId="4" fontId="7" fillId="0" borderId="29"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7" fillId="0" borderId="88" xfId="0" applyNumberFormat="1" applyFont="1" applyFill="1" applyBorder="1" applyAlignment="1">
      <alignment horizontal="right" vertical="center"/>
    </xf>
    <xf numFmtId="1" fontId="7" fillId="0" borderId="23" xfId="0" applyNumberFormat="1" applyFont="1" applyFill="1" applyBorder="1" applyAlignment="1">
      <alignment horizontal="center" vertical="center" wrapText="1"/>
    </xf>
    <xf numFmtId="1" fontId="7" fillId="0" borderId="29" xfId="0" applyNumberFormat="1" applyFont="1" applyFill="1" applyBorder="1" applyAlignment="1">
      <alignment horizontal="center" vertical="center" wrapText="1"/>
    </xf>
    <xf numFmtId="0" fontId="3" fillId="0" borderId="39" xfId="0" applyFont="1" applyBorder="1" applyAlignment="1">
      <alignment horizontal="center" vertical="center" wrapText="1"/>
    </xf>
    <xf numFmtId="0" fontId="5" fillId="3" borderId="10" xfId="0" applyFont="1" applyFill="1" applyBorder="1" applyAlignment="1">
      <alignment horizontal="center" vertical="center" textRotation="90" wrapText="1"/>
    </xf>
    <xf numFmtId="4" fontId="3" fillId="2" borderId="17" xfId="0" applyNumberFormat="1" applyFont="1" applyFill="1" applyBorder="1" applyAlignment="1">
      <alignment horizontal="right" vertical="center"/>
    </xf>
    <xf numFmtId="4" fontId="3" fillId="2" borderId="17" xfId="0" applyNumberFormat="1" applyFont="1" applyFill="1" applyBorder="1" applyAlignment="1">
      <alignment horizontal="right" vertical="center" wrapText="1"/>
    </xf>
    <xf numFmtId="4" fontId="3" fillId="2" borderId="30" xfId="0" applyNumberFormat="1" applyFont="1" applyFill="1" applyBorder="1" applyAlignment="1">
      <alignment horizontal="right" vertical="center"/>
    </xf>
    <xf numFmtId="4" fontId="3" fillId="2" borderId="42" xfId="0" applyNumberFormat="1" applyFont="1" applyFill="1" applyBorder="1" applyAlignment="1">
      <alignment horizontal="right" vertical="center"/>
    </xf>
    <xf numFmtId="4" fontId="3" fillId="2" borderId="6" xfId="0" applyNumberFormat="1" applyFont="1" applyFill="1" applyBorder="1" applyAlignment="1">
      <alignment horizontal="right" vertical="center"/>
    </xf>
    <xf numFmtId="4" fontId="3" fillId="2" borderId="10" xfId="0" applyNumberFormat="1" applyFont="1" applyFill="1" applyBorder="1" applyAlignment="1">
      <alignment horizontal="right" vertical="center"/>
    </xf>
    <xf numFmtId="4" fontId="3" fillId="2" borderId="2" xfId="0" applyNumberFormat="1" applyFont="1" applyFill="1" applyBorder="1" applyAlignment="1">
      <alignment horizontal="right" vertical="center"/>
    </xf>
    <xf numFmtId="4" fontId="3" fillId="6" borderId="2" xfId="0" applyNumberFormat="1" applyFont="1" applyFill="1" applyBorder="1" applyAlignment="1">
      <alignment horizontal="right" vertical="center"/>
    </xf>
    <xf numFmtId="4" fontId="3" fillId="2" borderId="9" xfId="0" applyNumberFormat="1" applyFont="1" applyFill="1" applyBorder="1" applyAlignment="1">
      <alignment horizontal="right" vertical="center"/>
    </xf>
    <xf numFmtId="4" fontId="3" fillId="6" borderId="17" xfId="0" applyNumberFormat="1" applyFont="1" applyFill="1" applyBorder="1" applyAlignment="1">
      <alignment horizontal="right" vertical="center"/>
    </xf>
    <xf numFmtId="4" fontId="3" fillId="6" borderId="14" xfId="0" applyNumberFormat="1" applyFont="1" applyFill="1" applyBorder="1" applyAlignment="1">
      <alignment horizontal="right" vertical="center"/>
    </xf>
    <xf numFmtId="4" fontId="3" fillId="6" borderId="15" xfId="0" applyNumberFormat="1" applyFont="1" applyFill="1" applyBorder="1" applyAlignment="1">
      <alignment horizontal="right" vertical="center"/>
    </xf>
    <xf numFmtId="4" fontId="3" fillId="6" borderId="9" xfId="0" applyNumberFormat="1" applyFont="1" applyFill="1" applyBorder="1" applyAlignment="1">
      <alignment horizontal="right" vertical="center"/>
    </xf>
    <xf numFmtId="4" fontId="3" fillId="5" borderId="2" xfId="0" applyNumberFormat="1" applyFont="1" applyFill="1" applyBorder="1" applyAlignment="1">
      <alignment horizontal="right" vertical="center"/>
    </xf>
    <xf numFmtId="4" fontId="3" fillId="2" borderId="38" xfId="0" applyNumberFormat="1" applyFont="1" applyFill="1" applyBorder="1" applyAlignment="1">
      <alignment horizontal="right" vertical="center"/>
    </xf>
    <xf numFmtId="4" fontId="3" fillId="2" borderId="25" xfId="0" applyNumberFormat="1" applyFont="1" applyFill="1" applyBorder="1" applyAlignment="1">
      <alignment horizontal="right" vertical="center"/>
    </xf>
    <xf numFmtId="4" fontId="3" fillId="2" borderId="15" xfId="0" applyNumberFormat="1" applyFont="1" applyFill="1" applyBorder="1" applyAlignment="1">
      <alignment horizontal="right" vertical="center"/>
    </xf>
    <xf numFmtId="4" fontId="3" fillId="2" borderId="14" xfId="0" applyNumberFormat="1" applyFont="1" applyFill="1" applyBorder="1" applyAlignment="1">
      <alignment horizontal="right" vertical="center"/>
    </xf>
    <xf numFmtId="173" fontId="2" fillId="0" borderId="2" xfId="7" applyFont="1" applyFill="1" applyBorder="1" applyAlignment="1">
      <alignment horizontal="right" vertical="center"/>
    </xf>
    <xf numFmtId="173" fontId="3" fillId="0" borderId="17" xfId="7" applyFont="1" applyFill="1" applyBorder="1" applyAlignment="1">
      <alignment horizontal="center" vertical="center" wrapText="1"/>
    </xf>
    <xf numFmtId="173" fontId="7" fillId="0" borderId="17" xfId="7" applyFont="1" applyFill="1" applyBorder="1" applyAlignment="1" applyProtection="1">
      <alignment horizontal="center" vertical="center" wrapText="1"/>
      <protection locked="0"/>
    </xf>
    <xf numFmtId="0" fontId="3" fillId="2" borderId="2" xfId="15" applyFont="1" applyFill="1" applyBorder="1" applyAlignment="1">
      <alignment horizontal="center" vertical="center" wrapText="1"/>
    </xf>
    <xf numFmtId="0" fontId="7" fillId="2" borderId="2" xfId="0" applyFont="1" applyFill="1" applyBorder="1" applyAlignment="1" applyProtection="1">
      <alignment horizontal="center" vertical="center" wrapText="1"/>
    </xf>
    <xf numFmtId="173" fontId="7" fillId="2" borderId="2" xfId="10" applyFont="1" applyFill="1" applyBorder="1" applyAlignment="1">
      <alignment horizontal="center" vertical="center"/>
    </xf>
    <xf numFmtId="0" fontId="7" fillId="0" borderId="2" xfId="0" applyFont="1" applyFill="1" applyBorder="1" applyAlignment="1" applyProtection="1">
      <alignment horizontal="center" vertical="center" wrapText="1"/>
    </xf>
    <xf numFmtId="0" fontId="37" fillId="2" borderId="73"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2" xfId="0" applyFont="1" applyFill="1" applyBorder="1" applyAlignment="1">
      <alignment horizontal="center" vertical="center" wrapText="1"/>
    </xf>
    <xf numFmtId="173" fontId="3" fillId="0" borderId="10" xfId="7" applyFont="1" applyFill="1" applyBorder="1" applyAlignment="1">
      <alignment horizontal="center" vertical="center" wrapText="1"/>
    </xf>
    <xf numFmtId="0" fontId="37" fillId="0" borderId="10" xfId="0" applyFont="1" applyFill="1" applyBorder="1" applyAlignment="1">
      <alignment horizontal="center" vertical="center" wrapText="1"/>
    </xf>
    <xf numFmtId="0" fontId="7" fillId="2" borderId="2" xfId="15" applyFont="1" applyFill="1" applyBorder="1" applyAlignment="1">
      <alignment horizontal="center" vertical="center" wrapText="1"/>
    </xf>
    <xf numFmtId="173" fontId="7" fillId="6" borderId="5" xfId="10" applyFont="1" applyFill="1" applyBorder="1" applyAlignment="1">
      <alignment horizontal="center" vertical="center" wrapText="1"/>
    </xf>
    <xf numFmtId="4" fontId="3" fillId="2" borderId="2" xfId="15" applyNumberFormat="1" applyFont="1" applyFill="1" applyBorder="1" applyAlignment="1">
      <alignment horizontal="center" vertical="center" wrapText="1"/>
    </xf>
    <xf numFmtId="3" fontId="3" fillId="2" borderId="2" xfId="15" applyNumberFormat="1" applyFont="1" applyFill="1" applyBorder="1" applyAlignment="1">
      <alignment horizontal="center" vertical="center" wrapText="1"/>
    </xf>
    <xf numFmtId="173" fontId="3" fillId="2" borderId="17" xfId="7" applyFont="1" applyFill="1" applyBorder="1" applyAlignment="1">
      <alignment horizontal="center" vertical="center" wrapText="1"/>
    </xf>
    <xf numFmtId="0" fontId="6" fillId="6" borderId="2" xfId="0" applyFont="1" applyFill="1" applyBorder="1" applyAlignment="1">
      <alignment horizontal="center" vertical="center" wrapText="1"/>
    </xf>
    <xf numFmtId="0" fontId="3" fillId="0" borderId="10" xfId="0" applyFont="1" applyFill="1" applyBorder="1" applyAlignment="1">
      <alignment horizontal="center"/>
    </xf>
    <xf numFmtId="0" fontId="7" fillId="6" borderId="11" xfId="0" applyFont="1" applyFill="1" applyBorder="1" applyAlignment="1">
      <alignment horizontal="justify" vertical="center"/>
    </xf>
    <xf numFmtId="9" fontId="6" fillId="6" borderId="11" xfId="3" applyFont="1" applyFill="1" applyBorder="1" applyAlignment="1">
      <alignment horizontal="center" vertical="center" wrapText="1"/>
    </xf>
    <xf numFmtId="0" fontId="7" fillId="0" borderId="15" xfId="0" applyFont="1" applyBorder="1" applyAlignment="1">
      <alignment vertical="center" wrapText="1"/>
    </xf>
    <xf numFmtId="9" fontId="6" fillId="6" borderId="5" xfId="3" applyFont="1" applyFill="1" applyBorder="1" applyAlignment="1">
      <alignment horizontal="center" vertical="center" wrapText="1"/>
    </xf>
    <xf numFmtId="0" fontId="7" fillId="6" borderId="5" xfId="0" applyFont="1" applyFill="1" applyBorder="1" applyAlignment="1">
      <alignment horizontal="justify" vertical="center"/>
    </xf>
    <xf numFmtId="0" fontId="3" fillId="2" borderId="0" xfId="0" applyFont="1" applyFill="1" applyAlignment="1">
      <alignment horizontal="left" vertical="center"/>
    </xf>
    <xf numFmtId="9" fontId="7" fillId="0" borderId="0" xfId="3" applyFont="1" applyFill="1" applyBorder="1" applyAlignment="1">
      <alignment horizontal="center" vertical="center" wrapText="1"/>
    </xf>
    <xf numFmtId="9" fontId="7" fillId="0" borderId="11" xfId="3" applyFont="1" applyFill="1" applyBorder="1" applyAlignment="1">
      <alignment horizontal="center" vertical="center" wrapText="1"/>
    </xf>
    <xf numFmtId="0" fontId="7" fillId="0" borderId="5" xfId="0" applyFont="1" applyFill="1" applyBorder="1" applyAlignment="1">
      <alignment horizontal="justify" vertical="center" wrapText="1"/>
    </xf>
    <xf numFmtId="49" fontId="2" fillId="3" borderId="2" xfId="0" applyNumberFormat="1" applyFont="1" applyFill="1" applyBorder="1" applyAlignment="1">
      <alignment horizontal="center" vertical="center"/>
    </xf>
    <xf numFmtId="0" fontId="2" fillId="5" borderId="5" xfId="0" applyFont="1" applyFill="1" applyBorder="1" applyAlignment="1">
      <alignment horizontal="left" vertical="center"/>
    </xf>
    <xf numFmtId="0" fontId="2" fillId="5" borderId="5" xfId="0" applyFont="1" applyFill="1" applyBorder="1" applyAlignment="1">
      <alignment horizontal="justify" vertical="center"/>
    </xf>
    <xf numFmtId="166" fontId="2" fillId="5" borderId="5" xfId="0" applyNumberFormat="1" applyFont="1" applyFill="1" applyBorder="1" applyAlignment="1">
      <alignment vertical="center"/>
    </xf>
    <xf numFmtId="0" fontId="2" fillId="5" borderId="5" xfId="0" applyFont="1" applyFill="1" applyBorder="1" applyAlignment="1">
      <alignment horizontal="justify" vertical="center" wrapText="1"/>
    </xf>
    <xf numFmtId="166" fontId="2" fillId="5" borderId="5" xfId="0" applyNumberFormat="1" applyFont="1" applyFill="1" applyBorder="1" applyAlignment="1">
      <alignment horizontal="center" vertical="center"/>
    </xf>
    <xf numFmtId="0" fontId="2" fillId="5" borderId="7" xfId="0" applyFont="1" applyFill="1" applyBorder="1" applyAlignment="1">
      <alignment horizontal="justify" vertical="center"/>
    </xf>
    <xf numFmtId="1" fontId="2" fillId="0" borderId="8"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6" borderId="11" xfId="0" applyFont="1" applyFill="1" applyBorder="1" applyAlignment="1">
      <alignment horizontal="left" vertical="center"/>
    </xf>
    <xf numFmtId="166" fontId="2" fillId="6" borderId="5" xfId="0" applyNumberFormat="1" applyFont="1" applyFill="1" applyBorder="1" applyAlignment="1">
      <alignment vertical="center"/>
    </xf>
    <xf numFmtId="173" fontId="2" fillId="6" borderId="5" xfId="0" applyNumberFormat="1" applyFont="1" applyFill="1" applyBorder="1" applyAlignment="1">
      <alignment horizontal="justify" vertical="center" wrapText="1"/>
    </xf>
    <xf numFmtId="166" fontId="2" fillId="6" borderId="5" xfId="0" applyNumberFormat="1" applyFont="1" applyFill="1" applyBorder="1" applyAlignment="1">
      <alignment horizontal="center" vertical="center"/>
    </xf>
    <xf numFmtId="0" fontId="2" fillId="6" borderId="12" xfId="0" applyFont="1" applyFill="1" applyBorder="1" applyAlignment="1">
      <alignment horizontal="justify" vertical="center"/>
    </xf>
    <xf numFmtId="1" fontId="7" fillId="0" borderId="13" xfId="0" applyNumberFormat="1" applyFont="1" applyBorder="1" applyAlignment="1">
      <alignment horizontal="center"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180" fontId="7" fillId="0" borderId="17" xfId="6" applyNumberFormat="1" applyFont="1" applyFill="1" applyBorder="1" applyAlignment="1">
      <alignment vertical="center"/>
    </xf>
    <xf numFmtId="0" fontId="7" fillId="0" borderId="30" xfId="0" applyFont="1" applyFill="1" applyBorder="1" applyAlignment="1">
      <alignment horizontal="center" vertical="center" wrapText="1"/>
    </xf>
    <xf numFmtId="0" fontId="7" fillId="0" borderId="0" xfId="0" applyFont="1" applyAlignment="1">
      <alignment vertical="center" wrapText="1"/>
    </xf>
    <xf numFmtId="0" fontId="7" fillId="0" borderId="1" xfId="0" applyFont="1" applyBorder="1" applyAlignment="1">
      <alignment vertical="center" wrapText="1"/>
    </xf>
    <xf numFmtId="180" fontId="7" fillId="0" borderId="38" xfId="6" applyNumberFormat="1" applyFont="1" applyFill="1" applyBorder="1" applyAlignment="1">
      <alignment vertical="center"/>
    </xf>
    <xf numFmtId="180" fontId="7" fillId="0" borderId="0" xfId="6" applyNumberFormat="1" applyFont="1" applyFill="1" applyBorder="1" applyAlignment="1">
      <alignment horizontal="justify" vertical="center" wrapText="1"/>
    </xf>
    <xf numFmtId="180" fontId="7" fillId="0" borderId="38" xfId="6" applyNumberFormat="1" applyFont="1" applyFill="1" applyBorder="1" applyAlignment="1">
      <alignment horizontal="justify" vertical="center" wrapText="1"/>
    </xf>
    <xf numFmtId="173" fontId="7" fillId="0" borderId="2" xfId="14" applyFont="1" applyFill="1" applyBorder="1" applyAlignment="1">
      <alignment horizontal="justify" vertical="center" wrapText="1"/>
    </xf>
    <xf numFmtId="180" fontId="7" fillId="0" borderId="24" xfId="6" applyNumberFormat="1" applyFont="1" applyFill="1" applyBorder="1" applyAlignment="1">
      <alignment horizontal="justify" vertical="center" wrapText="1"/>
    </xf>
    <xf numFmtId="43" fontId="7" fillId="0" borderId="2" xfId="16" applyFont="1" applyFill="1" applyBorder="1" applyAlignment="1">
      <alignment horizontal="justify" vertical="center" wrapText="1"/>
    </xf>
    <xf numFmtId="180" fontId="7" fillId="0" borderId="17" xfId="6" applyNumberFormat="1" applyFont="1" applyFill="1" applyBorder="1" applyAlignment="1">
      <alignment horizontal="justify" vertical="center" wrapText="1"/>
    </xf>
    <xf numFmtId="180" fontId="7" fillId="0" borderId="2" xfId="6" applyNumberFormat="1" applyFont="1" applyFill="1" applyBorder="1" applyAlignment="1">
      <alignment horizontal="justify" vertical="center" wrapText="1"/>
    </xf>
    <xf numFmtId="9" fontId="7" fillId="0" borderId="17" xfId="3" applyFont="1" applyFill="1" applyBorder="1" applyAlignment="1">
      <alignment horizontal="center" vertical="center"/>
    </xf>
    <xf numFmtId="180" fontId="7" fillId="0" borderId="29" xfId="6" applyNumberFormat="1" applyFont="1" applyFill="1" applyBorder="1" applyAlignment="1">
      <alignment vertical="center"/>
    </xf>
    <xf numFmtId="1" fontId="7" fillId="0" borderId="23" xfId="0" applyNumberFormat="1" applyFont="1" applyFill="1" applyBorder="1" applyAlignment="1">
      <alignment horizontal="center" vertical="center"/>
    </xf>
    <xf numFmtId="3" fontId="7" fillId="0" borderId="2" xfId="7" applyNumberFormat="1" applyFont="1" applyFill="1" applyBorder="1" applyAlignment="1">
      <alignment horizontal="center" vertical="center"/>
    </xf>
    <xf numFmtId="180" fontId="7" fillId="0" borderId="39" xfId="6" applyNumberFormat="1" applyFont="1" applyFill="1" applyBorder="1" applyAlignment="1">
      <alignment vertical="center"/>
    </xf>
    <xf numFmtId="1" fontId="7" fillId="0" borderId="38" xfId="0" applyNumberFormat="1" applyFont="1" applyFill="1" applyBorder="1" applyAlignment="1">
      <alignment horizontal="center" vertical="center"/>
    </xf>
    <xf numFmtId="1" fontId="7" fillId="0" borderId="23" xfId="0" applyNumberFormat="1" applyFont="1" applyBorder="1" applyAlignment="1">
      <alignment horizontal="center" vertical="center"/>
    </xf>
    <xf numFmtId="49" fontId="7" fillId="0" borderId="14" xfId="0" applyNumberFormat="1" applyFont="1" applyBorder="1" applyAlignment="1">
      <alignment horizontal="center" vertical="center"/>
    </xf>
    <xf numFmtId="180" fontId="7" fillId="0" borderId="24" xfId="6" applyNumberFormat="1" applyFont="1" applyFill="1" applyBorder="1" applyAlignment="1">
      <alignment vertical="center"/>
    </xf>
    <xf numFmtId="0" fontId="7" fillId="0" borderId="8" xfId="16" applyNumberFormat="1" applyFont="1" applyFill="1" applyBorder="1" applyAlignment="1">
      <alignment horizontal="justify" vertical="center" wrapText="1"/>
    </xf>
    <xf numFmtId="180" fontId="7" fillId="0" borderId="25" xfId="6" applyNumberFormat="1" applyFont="1" applyFill="1" applyBorder="1" applyAlignment="1">
      <alignment horizontal="justify" vertical="center" wrapText="1"/>
    </xf>
    <xf numFmtId="0" fontId="7" fillId="0" borderId="10" xfId="0" applyFont="1" applyBorder="1" applyAlignment="1">
      <alignment horizontal="center" vertical="center" wrapText="1"/>
    </xf>
    <xf numFmtId="173" fontId="3" fillId="0" borderId="2" xfId="14" applyFont="1" applyFill="1" applyBorder="1" applyAlignment="1">
      <alignment vertical="center"/>
    </xf>
    <xf numFmtId="1" fontId="7" fillId="0" borderId="39" xfId="0" applyNumberFormat="1" applyFont="1" applyBorder="1" applyAlignment="1">
      <alignment horizontal="center" vertical="center"/>
    </xf>
    <xf numFmtId="182" fontId="7" fillId="0" borderId="10" xfId="19" applyFont="1" applyBorder="1" applyAlignment="1">
      <alignment horizontal="justify" vertical="center" wrapText="1"/>
    </xf>
    <xf numFmtId="3" fontId="7" fillId="0" borderId="2" xfId="19" applyNumberFormat="1" applyFont="1" applyBorder="1" applyAlignment="1">
      <alignment horizontal="center" vertical="center" wrapText="1"/>
    </xf>
    <xf numFmtId="182" fontId="7" fillId="0" borderId="8" xfId="19" applyFont="1" applyBorder="1" applyAlignment="1">
      <alignment horizontal="justify" vertical="center" wrapText="1"/>
    </xf>
    <xf numFmtId="3" fontId="7" fillId="0" borderId="2" xfId="19" applyNumberFormat="1" applyFont="1" applyFill="1" applyBorder="1" applyAlignment="1">
      <alignment horizontal="center" vertical="center" wrapText="1"/>
    </xf>
    <xf numFmtId="180" fontId="7" fillId="0" borderId="15" xfId="6" applyNumberFormat="1" applyFont="1" applyFill="1" applyBorder="1" applyAlignment="1">
      <alignment vertical="center"/>
    </xf>
    <xf numFmtId="180" fontId="7" fillId="0" borderId="14" xfId="6" applyNumberFormat="1" applyFont="1" applyFill="1" applyBorder="1" applyAlignment="1">
      <alignment vertical="center"/>
    </xf>
    <xf numFmtId="1" fontId="7" fillId="0" borderId="14" xfId="0" applyNumberFormat="1" applyFont="1" applyBorder="1" applyAlignment="1">
      <alignment horizontal="center" vertical="center"/>
    </xf>
    <xf numFmtId="3" fontId="7" fillId="0" borderId="2" xfId="0" applyNumberFormat="1" applyFont="1" applyBorder="1" applyAlignment="1">
      <alignment horizontal="center" vertical="center"/>
    </xf>
    <xf numFmtId="168" fontId="7" fillId="0" borderId="9" xfId="0" applyNumberFormat="1" applyFont="1" applyBorder="1" applyAlignment="1">
      <alignment horizontal="center" vertical="center" wrapText="1"/>
    </xf>
    <xf numFmtId="180" fontId="2" fillId="6" borderId="11" xfId="6" applyNumberFormat="1" applyFont="1" applyFill="1" applyBorder="1" applyAlignment="1">
      <alignment vertical="center"/>
    </xf>
    <xf numFmtId="1" fontId="2" fillId="6" borderId="17" xfId="0" applyNumberFormat="1" applyFont="1" applyFill="1" applyBorder="1" applyAlignment="1">
      <alignment horizontal="center" vertical="center"/>
    </xf>
    <xf numFmtId="0" fontId="2" fillId="6" borderId="17" xfId="0" applyFont="1" applyFill="1" applyBorder="1" applyAlignment="1">
      <alignment horizontal="center" vertical="center"/>
    </xf>
    <xf numFmtId="167" fontId="2" fillId="6" borderId="17" xfId="0" applyNumberFormat="1" applyFont="1" applyFill="1" applyBorder="1" applyAlignment="1">
      <alignment horizontal="center" vertical="center"/>
    </xf>
    <xf numFmtId="1" fontId="7" fillId="0" borderId="24" xfId="0" applyNumberFormat="1" applyFont="1" applyBorder="1" applyAlignment="1">
      <alignment horizontal="center" vertical="center"/>
    </xf>
    <xf numFmtId="0" fontId="3" fillId="2" borderId="6" xfId="0" applyFont="1" applyFill="1" applyBorder="1"/>
    <xf numFmtId="43" fontId="6" fillId="0" borderId="2" xfId="0" applyNumberFormat="1" applyFont="1" applyBorder="1" applyAlignment="1">
      <alignment horizontal="center" vertical="center"/>
    </xf>
    <xf numFmtId="0" fontId="3" fillId="0" borderId="4" xfId="0" applyFont="1" applyBorder="1" applyAlignment="1">
      <alignment vertical="center" wrapText="1"/>
    </xf>
    <xf numFmtId="1" fontId="7" fillId="0" borderId="15" xfId="0" applyNumberFormat="1" applyFont="1" applyBorder="1" applyAlignment="1">
      <alignment vertical="center" wrapText="1"/>
    </xf>
    <xf numFmtId="0" fontId="7" fillId="0" borderId="6" xfId="0" applyFont="1" applyBorder="1" applyAlignment="1">
      <alignment vertical="center" wrapText="1"/>
    </xf>
    <xf numFmtId="9" fontId="3" fillId="2" borderId="17" xfId="3" applyFont="1" applyFill="1" applyBorder="1" applyAlignment="1">
      <alignment vertical="center"/>
    </xf>
    <xf numFmtId="180" fontId="6" fillId="0" borderId="4" xfId="6" applyNumberFormat="1" applyFont="1" applyFill="1" applyBorder="1" applyAlignment="1">
      <alignment vertical="center"/>
    </xf>
    <xf numFmtId="180" fontId="6" fillId="0" borderId="15" xfId="6" applyNumberFormat="1" applyFont="1" applyFill="1" applyBorder="1" applyAlignment="1">
      <alignment vertical="center"/>
    </xf>
    <xf numFmtId="1" fontId="3" fillId="0" borderId="15" xfId="0" applyNumberFormat="1" applyFont="1" applyBorder="1" applyAlignment="1">
      <alignment horizontal="center" vertical="center"/>
    </xf>
    <xf numFmtId="0" fontId="16" fillId="0" borderId="0" xfId="0" applyFont="1" applyAlignment="1">
      <alignment horizontal="justify" vertical="center" wrapText="1"/>
    </xf>
    <xf numFmtId="166" fontId="16" fillId="0" borderId="0" xfId="0" applyNumberFormat="1" applyFont="1" applyAlignment="1">
      <alignment horizontal="center" vertical="center"/>
    </xf>
    <xf numFmtId="0" fontId="3" fillId="0" borderId="0" xfId="0" applyFont="1" applyFill="1" applyAlignment="1">
      <alignment horizontal="left" vertical="center"/>
    </xf>
    <xf numFmtId="0" fontId="2" fillId="6" borderId="17" xfId="0" applyFont="1" applyFill="1" applyBorder="1" applyAlignment="1">
      <alignment horizontal="center" vertical="center" wrapText="1"/>
    </xf>
    <xf numFmtId="0" fontId="7" fillId="0" borderId="2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justify" vertical="center" wrapText="1"/>
    </xf>
    <xf numFmtId="9" fontId="7" fillId="0" borderId="17" xfId="3"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8"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3" fillId="0" borderId="15" xfId="0" applyFont="1" applyFill="1" applyBorder="1" applyAlignment="1">
      <alignment horizontal="center" vertical="center"/>
    </xf>
    <xf numFmtId="0" fontId="7" fillId="0" borderId="15"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30"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3" fillId="0" borderId="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3" fillId="0" borderId="26" xfId="0" applyFont="1" applyFill="1" applyBorder="1" applyAlignment="1">
      <alignment horizontal="center" vertical="center" wrapText="1"/>
    </xf>
    <xf numFmtId="9" fontId="7" fillId="0" borderId="38" xfId="3" applyFont="1" applyFill="1" applyBorder="1" applyAlignment="1">
      <alignment horizontal="center" vertical="center" wrapText="1"/>
    </xf>
    <xf numFmtId="0" fontId="7" fillId="0" borderId="26" xfId="0" applyFont="1" applyFill="1" applyBorder="1" applyAlignment="1">
      <alignment horizontal="justify" vertical="center" wrapText="1"/>
    </xf>
    <xf numFmtId="0" fontId="3" fillId="0" borderId="29" xfId="0" applyFont="1" applyFill="1" applyBorder="1" applyAlignment="1">
      <alignment horizontal="justify" vertical="center" wrapText="1"/>
    </xf>
    <xf numFmtId="0" fontId="7" fillId="0" borderId="13" xfId="0" applyFont="1" applyFill="1" applyBorder="1" applyAlignment="1">
      <alignment horizontal="center" vertical="center" wrapText="1"/>
    </xf>
    <xf numFmtId="9" fontId="3" fillId="0" borderId="15" xfId="3" applyFont="1" applyFill="1" applyBorder="1" applyAlignment="1">
      <alignment horizontal="center" vertical="center"/>
    </xf>
    <xf numFmtId="0" fontId="7" fillId="0" borderId="26"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7" fillId="0" borderId="11" xfId="0"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0" fontId="7" fillId="0" borderId="12"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5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9" fontId="7" fillId="0" borderId="6" xfId="3" applyFont="1" applyFill="1" applyBorder="1" applyAlignment="1">
      <alignment horizontal="center" vertical="center" wrapText="1"/>
    </xf>
    <xf numFmtId="9" fontId="7" fillId="0" borderId="3" xfId="3" applyFont="1" applyFill="1" applyBorder="1" applyAlignment="1">
      <alignment horizontal="center" vertical="center" wrapText="1"/>
    </xf>
    <xf numFmtId="0" fontId="7" fillId="0" borderId="42"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3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3" xfId="0" applyFont="1" applyBorder="1" applyAlignment="1">
      <alignment horizontal="center" vertical="center" wrapText="1"/>
    </xf>
    <xf numFmtId="0" fontId="6" fillId="0" borderId="50" xfId="0" applyFont="1" applyBorder="1" applyAlignment="1">
      <alignment horizontal="center" vertical="center"/>
    </xf>
    <xf numFmtId="0" fontId="6" fillId="0" borderId="5" xfId="0" applyFont="1" applyBorder="1" applyAlignment="1">
      <alignment horizontal="center" vertical="center"/>
    </xf>
    <xf numFmtId="0" fontId="6" fillId="0" borderId="49"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1" fontId="2" fillId="3" borderId="7"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4" borderId="2" xfId="0" applyFont="1" applyFill="1" applyBorder="1" applyAlignment="1">
      <alignment horizontal="center" vertical="center" textRotation="90" wrapText="1"/>
    </xf>
    <xf numFmtId="165" fontId="2" fillId="3" borderId="8" xfId="0" applyNumberFormat="1" applyFont="1" applyFill="1" applyBorder="1" applyAlignment="1">
      <alignment horizontal="center" vertical="center" wrapText="1"/>
    </xf>
    <xf numFmtId="165" fontId="2" fillId="3" borderId="13" xfId="0" applyNumberFormat="1" applyFont="1" applyFill="1" applyBorder="1" applyAlignment="1">
      <alignment horizontal="center" vertical="center" wrapText="1"/>
    </xf>
    <xf numFmtId="166" fontId="2" fillId="3" borderId="8" xfId="0" applyNumberFormat="1" applyFont="1" applyFill="1" applyBorder="1" applyAlignment="1">
      <alignment horizontal="center" vertical="center" wrapText="1"/>
    </xf>
    <xf numFmtId="166" fontId="2" fillId="3" borderId="13"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0" fontId="3" fillId="0" borderId="9" xfId="0" applyFont="1" applyBorder="1" applyAlignment="1">
      <alignment horizontal="justify" vertical="center" wrapText="1"/>
    </xf>
    <xf numFmtId="0" fontId="3" fillId="0" borderId="14" xfId="0" applyFont="1" applyBorder="1" applyAlignment="1">
      <alignment horizontal="justify" vertical="center" wrapText="1"/>
    </xf>
    <xf numFmtId="167" fontId="2" fillId="3" borderId="8" xfId="0" applyNumberFormat="1" applyFont="1" applyFill="1" applyBorder="1" applyAlignment="1">
      <alignment horizontal="center" vertical="center" wrapText="1"/>
    </xf>
    <xf numFmtId="167" fontId="2" fillId="3" borderId="6"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3" fontId="6" fillId="4" borderId="10" xfId="0" applyNumberFormat="1" applyFont="1" applyFill="1" applyBorder="1" applyAlignment="1">
      <alignment horizontal="center" vertical="center" wrapText="1"/>
    </xf>
    <xf numFmtId="3" fontId="6" fillId="4" borderId="11"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9" fontId="3" fillId="2" borderId="9" xfId="3" applyFont="1" applyFill="1" applyBorder="1" applyAlignment="1">
      <alignment horizontal="center" vertical="center" wrapText="1"/>
    </xf>
    <xf numFmtId="9" fontId="3" fillId="2" borderId="14" xfId="3" applyFont="1" applyFill="1" applyBorder="1" applyAlignment="1">
      <alignment horizontal="center" vertical="center" wrapText="1"/>
    </xf>
    <xf numFmtId="4" fontId="7" fillId="2" borderId="9" xfId="8" applyNumberFormat="1" applyFont="1" applyFill="1" applyBorder="1" applyAlignment="1">
      <alignment horizontal="right" vertical="center"/>
    </xf>
    <xf numFmtId="4" fontId="7" fillId="2" borderId="14" xfId="8" applyNumberFormat="1" applyFont="1" applyFill="1" applyBorder="1" applyAlignment="1">
      <alignment horizontal="right"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3" fontId="3" fillId="2" borderId="7"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9" xfId="0" applyNumberFormat="1" applyFont="1" applyFill="1" applyBorder="1" applyAlignment="1">
      <alignment horizontal="center" vertical="center"/>
    </xf>
    <xf numFmtId="1" fontId="3" fillId="2" borderId="9" xfId="0" applyNumberFormat="1" applyFont="1" applyFill="1" applyBorder="1" applyAlignment="1">
      <alignment horizontal="justify" vertical="center" wrapText="1"/>
    </xf>
    <xf numFmtId="1" fontId="3" fillId="2" borderId="14" xfId="0" applyNumberFormat="1" applyFont="1" applyFill="1" applyBorder="1" applyAlignment="1">
      <alignment horizontal="justify" vertical="center" wrapText="1"/>
    </xf>
    <xf numFmtId="0" fontId="7" fillId="0" borderId="2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3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9" fontId="3" fillId="2" borderId="17" xfId="3" applyFont="1" applyFill="1" applyBorder="1" applyAlignment="1">
      <alignment horizontal="center" vertical="center" wrapText="1"/>
    </xf>
    <xf numFmtId="0" fontId="3" fillId="0" borderId="9" xfId="0" applyFont="1" applyBorder="1" applyAlignment="1">
      <alignment horizontal="center" vertical="center"/>
    </xf>
    <xf numFmtId="0" fontId="3" fillId="0" borderId="14" xfId="0" applyFont="1" applyBorder="1" applyAlignment="1">
      <alignment horizontal="center" vertical="center"/>
    </xf>
    <xf numFmtId="168" fontId="3" fillId="2" borderId="9" xfId="0" applyNumberFormat="1" applyFont="1" applyFill="1" applyBorder="1" applyAlignment="1">
      <alignment horizontal="center" vertical="center" wrapText="1"/>
    </xf>
    <xf numFmtId="168" fontId="3" fillId="2" borderId="14" xfId="0" applyNumberFormat="1" applyFont="1" applyFill="1" applyBorder="1" applyAlignment="1">
      <alignment horizontal="center" vertical="center" wrapText="1"/>
    </xf>
    <xf numFmtId="168" fontId="3" fillId="2" borderId="17" xfId="0" applyNumberFormat="1" applyFont="1" applyFill="1" applyBorder="1" applyAlignment="1">
      <alignment horizontal="center" vertical="center" wrapText="1"/>
    </xf>
    <xf numFmtId="1" fontId="3" fillId="2" borderId="17" xfId="0" applyNumberFormat="1" applyFont="1" applyFill="1" applyBorder="1" applyAlignment="1">
      <alignment horizontal="justify" vertical="center" wrapText="1"/>
    </xf>
    <xf numFmtId="1" fontId="3" fillId="2" borderId="13" xfId="0" applyNumberFormat="1" applyFont="1" applyFill="1" applyBorder="1" applyAlignment="1">
      <alignment horizontal="center" vertical="center" wrapText="1"/>
    </xf>
    <xf numFmtId="1" fontId="3" fillId="2" borderId="0" xfId="0" applyNumberFormat="1" applyFont="1" applyFill="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Alignment="1">
      <alignment horizont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4" fontId="3" fillId="0" borderId="17" xfId="8" applyNumberFormat="1" applyFont="1" applyBorder="1" applyAlignment="1">
      <alignment horizontal="right" vertical="center"/>
    </xf>
    <xf numFmtId="0" fontId="3" fillId="0" borderId="3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67" fontId="2" fillId="3" borderId="13"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3" fontId="2" fillId="3" borderId="14"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9" xfId="0" applyFont="1" applyFill="1" applyBorder="1" applyAlignment="1">
      <alignment horizontal="center" vertical="center" textRotation="90" wrapText="1"/>
    </xf>
    <xf numFmtId="0" fontId="6" fillId="4" borderId="15" xfId="0" applyFont="1" applyFill="1" applyBorder="1" applyAlignment="1">
      <alignment horizontal="center" vertical="center" textRotation="90" wrapText="1"/>
    </xf>
    <xf numFmtId="0" fontId="7" fillId="0" borderId="17" xfId="0" applyFont="1" applyBorder="1" applyAlignment="1">
      <alignment horizontal="justify" vertical="center" wrapText="1"/>
    </xf>
    <xf numFmtId="0" fontId="3" fillId="0" borderId="17" xfId="0" applyFont="1" applyFill="1" applyBorder="1" applyAlignment="1">
      <alignment horizontal="center" vertical="center"/>
    </xf>
    <xf numFmtId="3" fontId="6" fillId="4" borderId="2" xfId="0" applyNumberFormat="1"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4" xfId="0" applyFont="1" applyFill="1" applyBorder="1" applyAlignment="1">
      <alignment horizontal="left" vertical="center" wrapText="1"/>
    </xf>
    <xf numFmtId="164" fontId="2" fillId="3" borderId="9" xfId="0" applyNumberFormat="1" applyFont="1" applyFill="1" applyBorder="1" applyAlignment="1">
      <alignment horizontal="center" vertical="center" wrapText="1"/>
    </xf>
    <xf numFmtId="164" fontId="2" fillId="3" borderId="14" xfId="0" applyNumberFormat="1" applyFont="1" applyFill="1" applyBorder="1" applyAlignment="1">
      <alignment horizontal="center" vertical="center" wrapText="1"/>
    </xf>
    <xf numFmtId="1" fontId="3" fillId="2" borderId="17" xfId="0" applyNumberFormat="1" applyFont="1" applyFill="1" applyBorder="1" applyAlignment="1">
      <alignment horizontal="center" vertical="center" wrapText="1"/>
    </xf>
    <xf numFmtId="0" fontId="8" fillId="0" borderId="19" xfId="0" applyFont="1" applyBorder="1" applyAlignment="1">
      <alignment horizontal="justify" vertical="center" wrapText="1"/>
    </xf>
    <xf numFmtId="0" fontId="8" fillId="0" borderId="20" xfId="0" applyFont="1" applyBorder="1" applyAlignment="1">
      <alignment horizontal="justify" vertical="center" wrapText="1"/>
    </xf>
    <xf numFmtId="0" fontId="7" fillId="0" borderId="15" xfId="0" applyFont="1" applyBorder="1" applyAlignment="1">
      <alignment horizontal="center" vertical="center" wrapText="1"/>
    </xf>
    <xf numFmtId="0" fontId="7" fillId="0" borderId="2" xfId="0" applyFont="1" applyBorder="1" applyAlignment="1">
      <alignment horizontal="justify" vertical="center" wrapText="1"/>
    </xf>
    <xf numFmtId="0" fontId="3" fillId="2" borderId="2" xfId="0" applyFont="1" applyFill="1" applyBorder="1" applyAlignment="1">
      <alignment horizontal="justify"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167" fontId="3" fillId="0" borderId="17" xfId="0" applyNumberFormat="1" applyFont="1" applyFill="1" applyBorder="1" applyAlignment="1">
      <alignment horizontal="center" vertical="center"/>
    </xf>
    <xf numFmtId="9" fontId="3" fillId="0" borderId="17" xfId="0" applyNumberFormat="1" applyFont="1" applyBorder="1" applyAlignment="1">
      <alignment horizontal="center" vertical="center"/>
    </xf>
    <xf numFmtId="43" fontId="3" fillId="0" borderId="17" xfId="1" applyFont="1" applyBorder="1" applyAlignment="1">
      <alignment horizontal="right" vertical="center"/>
    </xf>
    <xf numFmtId="0" fontId="3" fillId="2" borderId="17"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15" xfId="0" applyFont="1" applyFill="1" applyBorder="1" applyAlignment="1">
      <alignment horizontal="justify" vertical="center" wrapText="1"/>
    </xf>
    <xf numFmtId="1" fontId="3" fillId="2" borderId="9"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2" borderId="15" xfId="3" applyFont="1" applyFill="1" applyBorder="1" applyAlignment="1">
      <alignment horizontal="center" vertical="center" wrapText="1"/>
    </xf>
    <xf numFmtId="43" fontId="7" fillId="0" borderId="9" xfId="1" applyFont="1" applyFill="1" applyBorder="1" applyAlignment="1">
      <alignment horizontal="right" vertical="center" wrapText="1"/>
    </xf>
    <xf numFmtId="43" fontId="7" fillId="0" borderId="14" xfId="1" applyFont="1" applyFill="1" applyBorder="1" applyAlignment="1">
      <alignment horizontal="right" vertical="center" wrapText="1"/>
    </xf>
    <xf numFmtId="43" fontId="7" fillId="0" borderId="15" xfId="1" applyFont="1" applyFill="1" applyBorder="1" applyAlignment="1">
      <alignment horizontal="right"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3" fillId="0" borderId="2" xfId="0" applyFont="1" applyBorder="1" applyAlignment="1">
      <alignment horizontal="center" vertical="center" wrapText="1"/>
    </xf>
    <xf numFmtId="0" fontId="7" fillId="0" borderId="9" xfId="0" applyFont="1" applyBorder="1" applyAlignment="1">
      <alignment horizontal="justify" vertical="center" wrapText="1"/>
    </xf>
    <xf numFmtId="0" fontId="7" fillId="0" borderId="14" xfId="0" applyFont="1" applyBorder="1" applyAlignment="1">
      <alignment horizontal="justify" vertical="center" wrapText="1"/>
    </xf>
    <xf numFmtId="9" fontId="3" fillId="2" borderId="9" xfId="3" applyNumberFormat="1" applyFont="1" applyFill="1" applyBorder="1" applyAlignment="1">
      <alignment horizontal="center" vertical="center" wrapText="1"/>
    </xf>
    <xf numFmtId="9" fontId="3" fillId="2" borderId="14" xfId="3" applyNumberFormat="1" applyFont="1" applyFill="1" applyBorder="1" applyAlignment="1">
      <alignment horizontal="center" vertical="center" wrapText="1"/>
    </xf>
    <xf numFmtId="167" fontId="3" fillId="0" borderId="9" xfId="0" applyNumberFormat="1" applyFont="1" applyFill="1" applyBorder="1" applyAlignment="1">
      <alignment horizontal="center" vertical="center"/>
    </xf>
    <xf numFmtId="167" fontId="3" fillId="0" borderId="14" xfId="0" applyNumberFormat="1" applyFont="1" applyFill="1" applyBorder="1" applyAlignment="1">
      <alignment horizontal="center" vertical="center"/>
    </xf>
    <xf numFmtId="167" fontId="3" fillId="0" borderId="15" xfId="0" applyNumberFormat="1" applyFont="1" applyFill="1" applyBorder="1" applyAlignment="1">
      <alignment horizontal="center" vertical="center"/>
    </xf>
    <xf numFmtId="168" fontId="3" fillId="2" borderId="15" xfId="0" applyNumberFormat="1" applyFont="1" applyFill="1" applyBorder="1" applyAlignment="1">
      <alignment horizontal="center" vertical="center" wrapText="1"/>
    </xf>
    <xf numFmtId="0" fontId="8" fillId="0" borderId="17" xfId="0" applyFont="1" applyBorder="1" applyAlignment="1">
      <alignment horizontal="justify" vertical="center" wrapText="1"/>
    </xf>
    <xf numFmtId="1" fontId="3" fillId="2" borderId="9" xfId="0" applyNumberFormat="1" applyFont="1" applyFill="1" applyBorder="1" applyAlignment="1">
      <alignment horizontal="center" vertical="center"/>
    </xf>
    <xf numFmtId="1" fontId="3" fillId="2" borderId="14" xfId="0" applyNumberFormat="1" applyFont="1" applyFill="1" applyBorder="1" applyAlignment="1">
      <alignment horizontal="center" vertical="center"/>
    </xf>
    <xf numFmtId="1" fontId="3" fillId="2" borderId="15" xfId="0" applyNumberFormat="1" applyFont="1" applyFill="1" applyBorder="1" applyAlignment="1">
      <alignment horizontal="center" vertical="center"/>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9" xfId="0" applyFont="1" applyBorder="1" applyAlignment="1">
      <alignment horizontal="center" vertical="center" wrapText="1"/>
    </xf>
    <xf numFmtId="0" fontId="7" fillId="2" borderId="24"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3" fillId="0" borderId="25" xfId="0" applyFont="1" applyBorder="1" applyAlignment="1">
      <alignment horizontal="justify" vertical="center" wrapText="1"/>
    </xf>
    <xf numFmtId="0" fontId="3" fillId="0" borderId="30" xfId="0" applyFont="1" applyBorder="1" applyAlignment="1">
      <alignment horizontal="justify" vertical="center" wrapText="1"/>
    </xf>
    <xf numFmtId="0" fontId="3" fillId="2" borderId="2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2" xfId="0" applyFont="1" applyFill="1" applyBorder="1" applyAlignment="1">
      <alignment horizontal="center" vertical="center" wrapText="1"/>
    </xf>
    <xf numFmtId="43" fontId="7" fillId="0" borderId="9" xfId="1" applyFont="1" applyBorder="1" applyAlignment="1">
      <alignment horizontal="right" vertical="center" wrapText="1"/>
    </xf>
    <xf numFmtId="43" fontId="7" fillId="0" borderId="14" xfId="1" applyFont="1" applyBorder="1" applyAlignment="1">
      <alignment horizontal="right" vertical="center" wrapText="1"/>
    </xf>
    <xf numFmtId="0" fontId="3" fillId="2" borderId="13" xfId="0" applyFont="1" applyFill="1" applyBorder="1" applyAlignment="1">
      <alignment horizontal="justify" vertical="center" wrapText="1"/>
    </xf>
    <xf numFmtId="0" fontId="7" fillId="0" borderId="15" xfId="0" applyFont="1" applyBorder="1" applyAlignment="1">
      <alignment horizontal="justify" vertical="center" wrapText="1"/>
    </xf>
    <xf numFmtId="9" fontId="3" fillId="2" borderId="15" xfId="3" applyNumberFormat="1" applyFont="1" applyFill="1" applyBorder="1" applyAlignment="1">
      <alignment horizontal="center" vertical="center" wrapText="1"/>
    </xf>
    <xf numFmtId="43" fontId="7" fillId="0" borderId="15" xfId="1" applyFont="1" applyBorder="1" applyAlignment="1">
      <alignment horizontal="right" vertical="center" wrapText="1"/>
    </xf>
    <xf numFmtId="0" fontId="3" fillId="2" borderId="33" xfId="0" applyFont="1" applyFill="1" applyBorder="1" applyAlignment="1">
      <alignment horizontal="justify" vertical="center" wrapText="1"/>
    </xf>
    <xf numFmtId="0" fontId="8" fillId="0" borderId="9" xfId="0" applyFont="1" applyBorder="1" applyAlignment="1">
      <alignment horizontal="justify" vertical="center" wrapText="1"/>
    </xf>
    <xf numFmtId="0" fontId="8" fillId="0" borderId="15" xfId="0" applyFont="1" applyBorder="1" applyAlignment="1">
      <alignment horizontal="justify" vertical="center" wrapText="1"/>
    </xf>
    <xf numFmtId="0" fontId="7" fillId="0" borderId="38" xfId="0" applyFont="1" applyBorder="1" applyAlignment="1">
      <alignment horizontal="center" vertical="center" wrapText="1"/>
    </xf>
    <xf numFmtId="0" fontId="7" fillId="0" borderId="24" xfId="0" applyFont="1" applyBorder="1" applyAlignment="1">
      <alignment horizontal="justify" vertical="center" wrapText="1"/>
    </xf>
    <xf numFmtId="0" fontId="7" fillId="0" borderId="38" xfId="0" applyFont="1" applyBorder="1" applyAlignment="1">
      <alignment horizontal="justify" vertical="center" wrapText="1"/>
    </xf>
    <xf numFmtId="0" fontId="3" fillId="0" borderId="38" xfId="0" applyFont="1" applyBorder="1" applyAlignment="1">
      <alignment horizontal="justify" vertical="center" wrapText="1"/>
    </xf>
    <xf numFmtId="0" fontId="3" fillId="2" borderId="1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4" xfId="0" applyFont="1" applyBorder="1" applyAlignment="1">
      <alignment horizontal="justify" vertical="center" wrapText="1"/>
    </xf>
    <xf numFmtId="43" fontId="3" fillId="2" borderId="22" xfId="1" applyFont="1" applyFill="1" applyBorder="1" applyAlignment="1">
      <alignment horizontal="right" vertical="center" wrapText="1"/>
    </xf>
    <xf numFmtId="43" fontId="3" fillId="2" borderId="28" xfId="1" applyFont="1" applyFill="1" applyBorder="1" applyAlignment="1">
      <alignment horizontal="right" vertical="center" wrapText="1"/>
    </xf>
    <xf numFmtId="43" fontId="3" fillId="2" borderId="31" xfId="1" applyFont="1" applyFill="1" applyBorder="1" applyAlignment="1">
      <alignment horizontal="right" vertical="center" wrapText="1"/>
    </xf>
    <xf numFmtId="0" fontId="8" fillId="0" borderId="19" xfId="0" applyFont="1" applyFill="1" applyBorder="1" applyAlignment="1">
      <alignment horizontal="justify" vertical="center" wrapText="1"/>
    </xf>
    <xf numFmtId="0" fontId="8" fillId="0" borderId="20"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8" fillId="0" borderId="36" xfId="0" applyFont="1" applyFill="1" applyBorder="1" applyAlignment="1">
      <alignment horizontal="justify" vertical="center" wrapText="1"/>
    </xf>
    <xf numFmtId="0" fontId="8" fillId="0" borderId="37"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8" xfId="0" applyFont="1" applyBorder="1" applyAlignment="1">
      <alignment horizontal="justify" vertical="center" wrapText="1"/>
    </xf>
    <xf numFmtId="0" fontId="3" fillId="0" borderId="31" xfId="0" applyFont="1" applyBorder="1" applyAlignment="1">
      <alignment horizontal="justify" vertical="center" wrapText="1"/>
    </xf>
    <xf numFmtId="0" fontId="3" fillId="2" borderId="3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8" xfId="0" applyFont="1" applyFill="1" applyBorder="1" applyAlignment="1">
      <alignment horizontal="justify" vertical="center" wrapText="1"/>
    </xf>
    <xf numFmtId="0" fontId="3" fillId="0" borderId="13" xfId="0" applyFont="1" applyFill="1" applyBorder="1" applyAlignment="1">
      <alignment horizontal="justify" vertical="center" wrapText="1"/>
    </xf>
    <xf numFmtId="1" fontId="3" fillId="2" borderId="7"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8" fillId="0" borderId="29" xfId="0" applyFont="1" applyBorder="1" applyAlignment="1">
      <alignment horizontal="justify" vertical="center" wrapText="1"/>
    </xf>
    <xf numFmtId="0" fontId="3" fillId="2" borderId="26" xfId="0" applyFont="1" applyFill="1" applyBorder="1" applyAlignment="1">
      <alignment horizontal="center" vertical="center"/>
    </xf>
    <xf numFmtId="0" fontId="3" fillId="2" borderId="38"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7" fillId="0" borderId="26" xfId="0" applyFont="1" applyBorder="1" applyAlignment="1">
      <alignment horizontal="justify" vertical="center" wrapText="1"/>
    </xf>
    <xf numFmtId="0" fontId="10" fillId="0" borderId="38"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24"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13" xfId="0" applyFont="1" applyBorder="1" applyAlignment="1">
      <alignment horizontal="justify" vertical="center" wrapText="1"/>
    </xf>
    <xf numFmtId="9" fontId="3" fillId="2" borderId="17" xfId="3" applyNumberFormat="1" applyFont="1" applyFill="1" applyBorder="1" applyAlignment="1">
      <alignment horizontal="center" vertical="center" wrapText="1"/>
    </xf>
    <xf numFmtId="43" fontId="3" fillId="2" borderId="7" xfId="1" applyFont="1" applyFill="1" applyBorder="1" applyAlignment="1">
      <alignment horizontal="right" vertical="center" wrapText="1"/>
    </xf>
    <xf numFmtId="43" fontId="3" fillId="2" borderId="1" xfId="1" applyFont="1" applyFill="1" applyBorder="1" applyAlignment="1">
      <alignment horizontal="right" vertical="center" wrapText="1"/>
    </xf>
    <xf numFmtId="43" fontId="3" fillId="2" borderId="14" xfId="1" applyFont="1" applyFill="1" applyBorder="1" applyAlignment="1">
      <alignment horizontal="right" vertical="center" wrapText="1"/>
    </xf>
    <xf numFmtId="1" fontId="3" fillId="2" borderId="2" xfId="0" applyNumberFormat="1" applyFont="1" applyFill="1" applyBorder="1" applyAlignment="1">
      <alignment horizontal="center" vertical="center" wrapText="1"/>
    </xf>
    <xf numFmtId="9" fontId="3" fillId="2" borderId="38" xfId="3" applyFont="1" applyFill="1" applyBorder="1" applyAlignment="1">
      <alignment horizontal="center" vertical="center" wrapText="1"/>
    </xf>
    <xf numFmtId="9" fontId="3" fillId="2" borderId="26" xfId="3" applyFont="1" applyFill="1" applyBorder="1" applyAlignment="1">
      <alignment horizontal="center" vertical="center" wrapText="1"/>
    </xf>
    <xf numFmtId="9" fontId="3" fillId="2" borderId="24" xfId="3" applyFont="1" applyFill="1" applyBorder="1" applyAlignment="1">
      <alignment horizontal="center" vertical="center" wrapText="1"/>
    </xf>
    <xf numFmtId="43" fontId="3" fillId="2" borderId="38" xfId="1" applyFont="1" applyFill="1" applyBorder="1" applyAlignment="1">
      <alignment horizontal="right" vertical="center" wrapText="1"/>
    </xf>
    <xf numFmtId="43" fontId="3" fillId="2" borderId="26" xfId="1" applyFont="1" applyFill="1" applyBorder="1" applyAlignment="1">
      <alignment horizontal="right" vertical="center" wrapText="1"/>
    </xf>
    <xf numFmtId="43" fontId="3" fillId="2" borderId="24" xfId="1" applyFont="1" applyFill="1" applyBorder="1" applyAlignment="1">
      <alignment horizontal="right" vertical="center" wrapText="1"/>
    </xf>
    <xf numFmtId="0" fontId="7" fillId="0" borderId="38" xfId="5" applyNumberFormat="1" applyFont="1" applyFill="1" applyBorder="1" applyAlignment="1">
      <alignment horizontal="justify" vertical="center" wrapText="1"/>
    </xf>
    <xf numFmtId="0" fontId="7" fillId="0" borderId="26" xfId="5" applyNumberFormat="1" applyFont="1" applyFill="1" applyBorder="1" applyAlignment="1">
      <alignment horizontal="justify" vertical="center" wrapText="1"/>
    </xf>
    <xf numFmtId="0" fontId="7" fillId="0" borderId="24" xfId="5" applyNumberFormat="1" applyFont="1" applyFill="1" applyBorder="1" applyAlignment="1">
      <alignment horizontal="justify" vertical="center" wrapText="1"/>
    </xf>
    <xf numFmtId="0" fontId="3" fillId="0" borderId="39"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23" xfId="0" applyFont="1" applyBorder="1" applyAlignment="1">
      <alignment horizontal="justify" vertical="center" wrapText="1"/>
    </xf>
    <xf numFmtId="167" fontId="3" fillId="0" borderId="30" xfId="0" applyNumberFormat="1" applyFont="1" applyBorder="1" applyAlignment="1">
      <alignment horizontal="center" vertical="center"/>
    </xf>
    <xf numFmtId="0" fontId="6" fillId="0" borderId="2" xfId="0" applyFont="1" applyBorder="1" applyAlignment="1">
      <alignment horizontal="center" vertical="center"/>
    </xf>
    <xf numFmtId="0" fontId="6" fillId="0" borderId="53" xfId="0" applyFont="1" applyBorder="1" applyAlignment="1">
      <alignment horizontal="center" vertical="center"/>
    </xf>
    <xf numFmtId="0" fontId="6" fillId="0" borderId="6"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6" borderId="9" xfId="0" applyFont="1" applyFill="1" applyBorder="1" applyAlignment="1">
      <alignment horizontal="left" vertical="center" wrapText="1"/>
    </xf>
    <xf numFmtId="0" fontId="6" fillId="6" borderId="2"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0" fontId="3" fillId="2" borderId="7"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justify" vertical="center" wrapText="1"/>
      <protection locked="0"/>
    </xf>
    <xf numFmtId="1" fontId="2" fillId="3" borderId="15"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14" xfId="0" applyFont="1" applyFill="1" applyBorder="1" applyAlignment="1">
      <alignment horizontal="justify" vertical="center" wrapText="1"/>
    </xf>
    <xf numFmtId="167" fontId="2" fillId="3" borderId="2" xfId="0" applyNumberFormat="1" applyFont="1" applyFill="1" applyBorder="1" applyAlignment="1">
      <alignment horizontal="center" vertical="center" wrapText="1"/>
    </xf>
    <xf numFmtId="0" fontId="6" fillId="4" borderId="8" xfId="0" applyFont="1" applyFill="1" applyBorder="1" applyAlignment="1">
      <alignment horizontal="center" vertical="center" textRotation="90" wrapText="1"/>
    </xf>
    <xf numFmtId="0" fontId="6" fillId="4" borderId="6" xfId="0" applyFont="1" applyFill="1" applyBorder="1" applyAlignment="1">
      <alignment horizontal="center" vertical="center" textRotation="90" wrapText="1"/>
    </xf>
    <xf numFmtId="14" fontId="3" fillId="2" borderId="17" xfId="0" applyNumberFormat="1" applyFont="1" applyFill="1" applyBorder="1" applyAlignment="1">
      <alignment horizontal="center" vertical="center" wrapText="1"/>
    </xf>
    <xf numFmtId="14" fontId="3" fillId="2" borderId="38" xfId="0" applyNumberFormat="1" applyFont="1" applyFill="1" applyBorder="1" applyAlignment="1">
      <alignment horizontal="center" vertical="center" wrapText="1"/>
    </xf>
    <xf numFmtId="1" fontId="3" fillId="2" borderId="38" xfId="0" applyNumberFormat="1" applyFont="1" applyFill="1" applyBorder="1" applyAlignment="1">
      <alignment horizontal="center" vertical="center" wrapText="1"/>
    </xf>
    <xf numFmtId="1" fontId="7" fillId="2" borderId="38" xfId="0" applyNumberFormat="1" applyFont="1" applyFill="1" applyBorder="1" applyAlignment="1">
      <alignment horizontal="center" vertical="center" wrapText="1"/>
    </xf>
    <xf numFmtId="1" fontId="7" fillId="2" borderId="26" xfId="0" applyNumberFormat="1" applyFont="1" applyFill="1" applyBorder="1" applyAlignment="1">
      <alignment horizontal="center" vertical="center" wrapText="1"/>
    </xf>
    <xf numFmtId="1" fontId="7" fillId="2" borderId="24" xfId="0" applyNumberFormat="1" applyFont="1" applyFill="1" applyBorder="1" applyAlignment="1">
      <alignment horizontal="center" vertical="center" wrapText="1"/>
    </xf>
    <xf numFmtId="3" fontId="3" fillId="2" borderId="29" xfId="0" applyNumberFormat="1" applyFont="1" applyFill="1" applyBorder="1" applyAlignment="1">
      <alignment horizontal="justify" vertical="center" wrapText="1"/>
    </xf>
    <xf numFmtId="3" fontId="3" fillId="2" borderId="39" xfId="0" applyNumberFormat="1" applyFont="1" applyFill="1" applyBorder="1" applyAlignment="1">
      <alignment horizontal="justify" vertical="center" wrapText="1"/>
    </xf>
    <xf numFmtId="3" fontId="3" fillId="2" borderId="38" xfId="0" applyNumberFormat="1" applyFont="1" applyFill="1" applyBorder="1" applyAlignment="1">
      <alignment horizontal="justify" vertical="center" wrapText="1"/>
    </xf>
    <xf numFmtId="0" fontId="3" fillId="2" borderId="17" xfId="0" applyFont="1" applyFill="1" applyBorder="1" applyAlignment="1" applyProtection="1">
      <alignment horizontal="justify" vertical="center" wrapText="1"/>
      <protection locked="0"/>
    </xf>
    <xf numFmtId="0" fontId="3" fillId="2" borderId="38" xfId="0" applyFont="1" applyFill="1" applyBorder="1" applyAlignment="1" applyProtection="1">
      <alignment horizontal="justify" vertical="center" wrapText="1"/>
      <protection locked="0"/>
    </xf>
    <xf numFmtId="1" fontId="7" fillId="2" borderId="17" xfId="0" applyNumberFormat="1" applyFont="1" applyFill="1" applyBorder="1" applyAlignment="1">
      <alignment horizontal="center" vertical="center" wrapText="1"/>
    </xf>
    <xf numFmtId="0" fontId="7" fillId="2" borderId="29" xfId="0" applyFont="1" applyFill="1" applyBorder="1" applyAlignment="1">
      <alignment horizontal="center" vertical="center" wrapText="1"/>
    </xf>
    <xf numFmtId="9" fontId="3" fillId="2" borderId="24" xfId="3"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justify" vertical="center" wrapText="1"/>
    </xf>
    <xf numFmtId="0" fontId="7" fillId="2" borderId="13" xfId="0" applyFont="1" applyFill="1" applyBorder="1" applyAlignment="1">
      <alignment horizontal="justify" vertical="center" wrapText="1"/>
    </xf>
    <xf numFmtId="9" fontId="3" fillId="2" borderId="38" xfId="3" applyNumberFormat="1" applyFont="1" applyFill="1" applyBorder="1" applyAlignment="1">
      <alignment horizontal="center" vertical="center" wrapText="1"/>
    </xf>
    <xf numFmtId="9" fontId="3" fillId="2" borderId="26" xfId="3" applyNumberFormat="1" applyFont="1" applyFill="1" applyBorder="1" applyAlignment="1">
      <alignment horizontal="center" vertical="center" wrapText="1"/>
    </xf>
    <xf numFmtId="14" fontId="3" fillId="2" borderId="26" xfId="0" applyNumberFormat="1" applyFont="1" applyFill="1" applyBorder="1" applyAlignment="1">
      <alignment horizontal="center" vertical="center" wrapText="1"/>
    </xf>
    <xf numFmtId="14" fontId="3" fillId="2" borderId="24"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3" fillId="2" borderId="30" xfId="0" applyFont="1" applyFill="1" applyBorder="1" applyAlignment="1" applyProtection="1">
      <alignment horizontal="justify" vertical="center" wrapText="1"/>
      <protection locked="0"/>
    </xf>
    <xf numFmtId="0" fontId="7" fillId="0" borderId="29" xfId="0" applyFont="1" applyFill="1" applyBorder="1" applyAlignment="1">
      <alignment horizontal="justify" vertical="center" wrapText="1"/>
    </xf>
    <xf numFmtId="0" fontId="3" fillId="2" borderId="29" xfId="0" applyFont="1" applyFill="1" applyBorder="1" applyAlignment="1">
      <alignment horizontal="center" vertical="center" wrapText="1"/>
    </xf>
    <xf numFmtId="43" fontId="3" fillId="2" borderId="5" xfId="0" applyNumberFormat="1" applyFont="1" applyFill="1" applyBorder="1" applyAlignment="1">
      <alignment horizontal="center" vertical="center"/>
    </xf>
    <xf numFmtId="43" fontId="3" fillId="2" borderId="0" xfId="0" applyNumberFormat="1" applyFont="1" applyFill="1" applyBorder="1" applyAlignment="1">
      <alignment horizontal="center" vertical="center"/>
    </xf>
    <xf numFmtId="0" fontId="3" fillId="2" borderId="38"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wrapText="1"/>
    </xf>
    <xf numFmtId="3" fontId="3" fillId="2" borderId="26" xfId="0" applyNumberFormat="1" applyFont="1" applyFill="1" applyBorder="1" applyAlignment="1">
      <alignment horizontal="justify" vertical="center" wrapText="1"/>
    </xf>
    <xf numFmtId="3" fontId="3" fillId="2" borderId="24" xfId="0" applyNumberFormat="1" applyFont="1" applyFill="1" applyBorder="1" applyAlignment="1">
      <alignment horizontal="justify" vertical="center" wrapText="1"/>
    </xf>
    <xf numFmtId="0" fontId="3" fillId="2" borderId="36"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3" fillId="2" borderId="37" xfId="0" applyFont="1" applyFill="1" applyBorder="1" applyAlignment="1" applyProtection="1">
      <alignment horizontal="justify" vertical="center" wrapText="1"/>
      <protection locked="0"/>
    </xf>
    <xf numFmtId="1" fontId="7" fillId="2" borderId="29" xfId="0" applyNumberFormat="1" applyFont="1" applyFill="1" applyBorder="1" applyAlignment="1">
      <alignment horizontal="center" vertical="center" wrapText="1"/>
    </xf>
    <xf numFmtId="43" fontId="3" fillId="2" borderId="17" xfId="0" applyNumberFormat="1" applyFont="1" applyFill="1" applyBorder="1" applyAlignment="1">
      <alignment horizontal="center" vertical="center"/>
    </xf>
    <xf numFmtId="0" fontId="3" fillId="2" borderId="26" xfId="0" applyFont="1" applyFill="1" applyBorder="1" applyAlignment="1">
      <alignment horizontal="justify" vertical="center" wrapText="1"/>
    </xf>
    <xf numFmtId="0" fontId="3" fillId="2" borderId="24" xfId="0" applyFont="1" applyFill="1" applyBorder="1" applyAlignment="1">
      <alignment horizontal="justify"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pplyAlignment="1">
      <alignment horizontal="center" vertical="center" wrapText="1"/>
    </xf>
    <xf numFmtId="0" fontId="6" fillId="0" borderId="49" xfId="0" applyFont="1" applyBorder="1" applyAlignment="1">
      <alignment horizontal="center" vertical="center" wrapText="1"/>
    </xf>
    <xf numFmtId="0" fontId="6" fillId="0" borderId="3" xfId="0" applyFont="1" applyBorder="1" applyAlignment="1">
      <alignment horizontal="center" vertical="center" wrapText="1"/>
    </xf>
    <xf numFmtId="0" fontId="2" fillId="3" borderId="15" xfId="0" applyFont="1" applyFill="1" applyBorder="1" applyAlignment="1">
      <alignment horizontal="center" vertical="center" wrapText="1"/>
    </xf>
    <xf numFmtId="167" fontId="2" fillId="3" borderId="7" xfId="0"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167" fontId="2" fillId="3" borderId="4" xfId="0" applyNumberFormat="1" applyFont="1" applyFill="1" applyBorder="1" applyAlignment="1">
      <alignment horizontal="center" vertical="center" wrapText="1"/>
    </xf>
    <xf numFmtId="3" fontId="2" fillId="3" borderId="10" xfId="0" applyNumberFormat="1" applyFont="1" applyFill="1" applyBorder="1" applyAlignment="1">
      <alignment horizontal="center" vertical="center" wrapText="1"/>
    </xf>
    <xf numFmtId="3" fontId="6" fillId="3" borderId="9" xfId="0" applyNumberFormat="1" applyFont="1" applyFill="1" applyBorder="1" applyAlignment="1">
      <alignment horizontal="center" vertical="center" textRotation="90" wrapText="1"/>
    </xf>
    <xf numFmtId="3" fontId="6" fillId="3" borderId="15" xfId="0" applyNumberFormat="1" applyFont="1" applyFill="1" applyBorder="1" applyAlignment="1">
      <alignment horizontal="center" vertical="center" textRotation="90" wrapText="1"/>
    </xf>
    <xf numFmtId="49" fontId="2" fillId="3" borderId="9" xfId="0" applyNumberFormat="1" applyFont="1" applyFill="1" applyBorder="1" applyAlignment="1">
      <alignment horizontal="center" vertical="center" textRotation="90"/>
    </xf>
    <xf numFmtId="49" fontId="2" fillId="3" borderId="15" xfId="0" applyNumberFormat="1" applyFont="1" applyFill="1" applyBorder="1" applyAlignment="1">
      <alignment horizontal="center" vertical="center" textRotation="90"/>
    </xf>
    <xf numFmtId="0" fontId="6" fillId="0" borderId="78"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1" xfId="0" applyFont="1" applyBorder="1" applyAlignment="1">
      <alignment horizontal="center" vertical="center"/>
    </xf>
    <xf numFmtId="0" fontId="6" fillId="0" borderId="79" xfId="0" applyFont="1" applyBorder="1" applyAlignment="1">
      <alignment horizontal="center" vertical="center"/>
    </xf>
    <xf numFmtId="0" fontId="6" fillId="0" borderId="51" xfId="0" applyFont="1" applyBorder="1" applyAlignment="1">
      <alignment horizontal="center" vertical="center"/>
    </xf>
    <xf numFmtId="0" fontId="6" fillId="0" borderId="30"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175" fontId="2" fillId="3" borderId="8" xfId="8" applyFont="1" applyFill="1" applyBorder="1" applyAlignment="1">
      <alignment horizontal="center" vertical="center" wrapText="1"/>
    </xf>
    <xf numFmtId="175" fontId="2" fillId="3" borderId="13" xfId="8" applyFont="1" applyFill="1" applyBorder="1" applyAlignment="1">
      <alignment horizontal="center" vertical="center" wrapText="1"/>
    </xf>
    <xf numFmtId="166" fontId="2" fillId="3" borderId="9" xfId="0" applyNumberFormat="1" applyFont="1" applyFill="1" applyBorder="1" applyAlignment="1">
      <alignment horizontal="center" vertical="center" wrapText="1"/>
    </xf>
    <xf numFmtId="166" fontId="2" fillId="3" borderId="14" xfId="0" applyNumberFormat="1" applyFont="1" applyFill="1" applyBorder="1" applyAlignment="1">
      <alignment horizontal="center" vertical="center" wrapText="1"/>
    </xf>
    <xf numFmtId="166" fontId="2" fillId="3" borderId="15" xfId="0" applyNumberFormat="1" applyFont="1" applyFill="1" applyBorder="1" applyAlignment="1">
      <alignment horizontal="center" vertical="center" wrapText="1"/>
    </xf>
    <xf numFmtId="0" fontId="3" fillId="0" borderId="2" xfId="19" applyNumberFormat="1" applyFont="1" applyBorder="1" applyAlignment="1">
      <alignment horizontal="center" vertical="center"/>
    </xf>
    <xf numFmtId="0" fontId="7" fillId="0" borderId="17" xfId="0" applyFont="1" applyBorder="1" applyAlignment="1">
      <alignment horizontal="center" vertical="center"/>
    </xf>
    <xf numFmtId="0" fontId="7" fillId="0" borderId="39" xfId="0" applyFont="1" applyBorder="1" applyAlignment="1">
      <alignment horizontal="justify" vertical="center" wrapText="1"/>
    </xf>
    <xf numFmtId="0" fontId="7" fillId="0" borderId="23"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7"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0" fontId="6" fillId="0" borderId="4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5" xfId="0" applyFont="1" applyBorder="1" applyAlignment="1">
      <alignment horizontal="center" vertical="center" wrapText="1"/>
    </xf>
    <xf numFmtId="180" fontId="3" fillId="0" borderId="17" xfId="6" applyNumberFormat="1" applyFont="1" applyBorder="1" applyAlignment="1">
      <alignment horizontal="center" vertical="center"/>
    </xf>
    <xf numFmtId="0" fontId="3" fillId="2" borderId="5" xfId="0" applyFont="1" applyFill="1" applyBorder="1" applyAlignment="1">
      <alignment horizontal="justify" vertical="center" wrapText="1"/>
    </xf>
    <xf numFmtId="0" fontId="3" fillId="2" borderId="0" xfId="0" applyFont="1" applyFill="1" applyAlignment="1">
      <alignment horizontal="justify" vertical="center" wrapText="1"/>
    </xf>
    <xf numFmtId="0" fontId="3" fillId="2" borderId="3" xfId="0" applyFont="1" applyFill="1" applyBorder="1" applyAlignment="1">
      <alignment horizontal="justify" vertical="center" wrapText="1"/>
    </xf>
    <xf numFmtId="0" fontId="3" fillId="0" borderId="17" xfId="19" applyNumberFormat="1" applyFont="1" applyBorder="1" applyAlignment="1">
      <alignment horizontal="center" vertical="center"/>
    </xf>
    <xf numFmtId="0" fontId="3" fillId="0" borderId="38" xfId="19" applyNumberFormat="1" applyFont="1" applyBorder="1" applyAlignment="1">
      <alignment horizontal="center" vertical="center"/>
    </xf>
    <xf numFmtId="0" fontId="7" fillId="0" borderId="2" xfId="0" applyFont="1" applyBorder="1" applyAlignment="1">
      <alignment horizontal="center" vertical="center"/>
    </xf>
    <xf numFmtId="0" fontId="3" fillId="0" borderId="15" xfId="0" applyFont="1" applyBorder="1" applyAlignment="1">
      <alignment horizontal="center" vertical="center" wrapText="1"/>
    </xf>
    <xf numFmtId="0" fontId="7" fillId="0" borderId="5" xfId="0" applyFont="1" applyBorder="1" applyAlignment="1">
      <alignment horizontal="justify" vertical="center" wrapText="1"/>
    </xf>
    <xf numFmtId="0" fontId="7" fillId="0" borderId="0" xfId="0" applyFont="1" applyAlignment="1">
      <alignment horizontal="justify" vertical="center" wrapText="1"/>
    </xf>
    <xf numFmtId="0" fontId="7" fillId="0" borderId="3" xfId="0" applyFont="1" applyBorder="1" applyAlignment="1">
      <alignment horizontal="justify" vertical="center" wrapText="1"/>
    </xf>
    <xf numFmtId="168" fontId="3" fillId="2" borderId="38" xfId="0" applyNumberFormat="1" applyFont="1" applyFill="1" applyBorder="1" applyAlignment="1">
      <alignment horizontal="center" vertical="center" wrapText="1"/>
    </xf>
    <xf numFmtId="168" fontId="3" fillId="2" borderId="26" xfId="0" applyNumberFormat="1" applyFont="1" applyFill="1" applyBorder="1" applyAlignment="1">
      <alignment horizontal="center" vertical="center" wrapText="1"/>
    </xf>
    <xf numFmtId="168" fontId="3" fillId="2" borderId="24" xfId="0" applyNumberFormat="1" applyFont="1" applyFill="1" applyBorder="1" applyAlignment="1">
      <alignment horizontal="center" vertical="center" wrapText="1"/>
    </xf>
    <xf numFmtId="0" fontId="7" fillId="0" borderId="17" xfId="5" applyNumberFormat="1" applyFont="1" applyFill="1" applyBorder="1" applyAlignment="1">
      <alignment horizontal="justify" vertical="center" wrapText="1"/>
    </xf>
    <xf numFmtId="0" fontId="3" fillId="0" borderId="17" xfId="19" applyNumberFormat="1" applyFont="1" applyBorder="1" applyAlignment="1">
      <alignment horizontal="center" vertical="center" wrapText="1"/>
    </xf>
    <xf numFmtId="0" fontId="3" fillId="0" borderId="38" xfId="19" applyNumberFormat="1" applyFont="1" applyBorder="1" applyAlignment="1">
      <alignment horizontal="center" vertical="center" wrapText="1"/>
    </xf>
    <xf numFmtId="9" fontId="3" fillId="2" borderId="19" xfId="3" applyFont="1" applyFill="1" applyBorder="1" applyAlignment="1">
      <alignment horizontal="center" vertical="center"/>
    </xf>
    <xf numFmtId="9" fontId="3" fillId="2" borderId="26" xfId="3" applyFont="1" applyFill="1" applyBorder="1" applyAlignment="1">
      <alignment horizontal="center" vertical="center"/>
    </xf>
    <xf numFmtId="9" fontId="3" fillId="2" borderId="20" xfId="3" applyFont="1" applyFill="1" applyBorder="1" applyAlignment="1">
      <alignment horizontal="center" vertical="center"/>
    </xf>
    <xf numFmtId="167" fontId="3" fillId="0" borderId="2" xfId="0" applyNumberFormat="1" applyFont="1" applyBorder="1" applyAlignment="1">
      <alignment horizontal="center" vertical="center" wrapText="1"/>
    </xf>
    <xf numFmtId="167" fontId="3" fillId="0" borderId="9"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167" fontId="3" fillId="0" borderId="15" xfId="0" applyNumberFormat="1" applyFont="1" applyBorder="1" applyAlignment="1">
      <alignment horizontal="center" vertical="center" wrapText="1"/>
    </xf>
    <xf numFmtId="0" fontId="3" fillId="0" borderId="9" xfId="19" applyNumberFormat="1" applyFont="1" applyBorder="1" applyAlignment="1">
      <alignment horizontal="center" vertical="center"/>
    </xf>
    <xf numFmtId="0" fontId="3" fillId="0" borderId="14" xfId="19" applyNumberFormat="1" applyFont="1" applyBorder="1" applyAlignment="1">
      <alignment horizontal="center" vertical="center"/>
    </xf>
    <xf numFmtId="0" fontId="3" fillId="0" borderId="15" xfId="19" applyNumberFormat="1" applyFont="1" applyBorder="1" applyAlignment="1">
      <alignment horizontal="center" vertical="center"/>
    </xf>
    <xf numFmtId="180" fontId="7" fillId="0" borderId="17" xfId="6" applyNumberFormat="1" applyFont="1" applyBorder="1" applyAlignment="1">
      <alignment horizontal="center" vertical="center"/>
    </xf>
    <xf numFmtId="9" fontId="3" fillId="0" borderId="17" xfId="3" applyFont="1" applyBorder="1" applyAlignment="1">
      <alignment horizontal="center" vertical="center"/>
    </xf>
    <xf numFmtId="0" fontId="3" fillId="2" borderId="34" xfId="0" applyFont="1" applyFill="1" applyBorder="1" applyAlignment="1">
      <alignment horizontal="justify" vertical="center" wrapText="1"/>
    </xf>
    <xf numFmtId="0" fontId="3" fillId="2" borderId="41" xfId="0" applyFont="1" applyFill="1" applyBorder="1" applyAlignment="1">
      <alignment horizontal="justify" vertical="center" wrapText="1"/>
    </xf>
    <xf numFmtId="0" fontId="3" fillId="2" borderId="35" xfId="0" applyFont="1" applyFill="1" applyBorder="1" applyAlignment="1">
      <alignment horizontal="justify"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0" borderId="17" xfId="16" applyNumberFormat="1" applyFont="1" applyFill="1" applyBorder="1" applyAlignment="1">
      <alignment horizontal="center" vertical="center" wrapText="1"/>
    </xf>
    <xf numFmtId="0" fontId="7" fillId="0" borderId="38" xfId="16" applyNumberFormat="1" applyFont="1" applyFill="1" applyBorder="1" applyAlignment="1">
      <alignment horizontal="center" vertical="center" wrapText="1"/>
    </xf>
    <xf numFmtId="0" fontId="7" fillId="0" borderId="7" xfId="16" applyNumberFormat="1" applyFont="1" applyFill="1" applyBorder="1" applyAlignment="1">
      <alignment horizontal="center" vertical="center" wrapText="1"/>
    </xf>
    <xf numFmtId="0" fontId="7" fillId="0" borderId="1" xfId="16" applyNumberFormat="1" applyFont="1" applyFill="1" applyBorder="1" applyAlignment="1">
      <alignment horizontal="center" vertical="center" wrapText="1"/>
    </xf>
    <xf numFmtId="0" fontId="7" fillId="2" borderId="9" xfId="5" applyNumberFormat="1" applyFont="1" applyFill="1" applyBorder="1" applyAlignment="1">
      <alignment horizontal="justify" vertical="center" wrapText="1"/>
    </xf>
    <xf numFmtId="0" fontId="7" fillId="2" borderId="14" xfId="5" applyNumberFormat="1" applyFont="1" applyFill="1" applyBorder="1" applyAlignment="1">
      <alignment horizontal="justify" vertical="center" wrapText="1"/>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37" xfId="0" applyFont="1" applyBorder="1" applyAlignment="1">
      <alignment horizontal="center" vertical="center"/>
    </xf>
    <xf numFmtId="9" fontId="3" fillId="2" borderId="9" xfId="3" applyFont="1" applyFill="1" applyBorder="1" applyAlignment="1">
      <alignment horizontal="center" vertical="center"/>
    </xf>
    <xf numFmtId="9" fontId="3" fillId="2" borderId="14" xfId="3" applyFont="1" applyFill="1" applyBorder="1" applyAlignment="1">
      <alignment horizontal="center" vertical="center"/>
    </xf>
    <xf numFmtId="9" fontId="3" fillId="2" borderId="15" xfId="3" applyFont="1" applyFill="1" applyBorder="1" applyAlignment="1">
      <alignment horizontal="center" vertical="center"/>
    </xf>
    <xf numFmtId="180" fontId="7" fillId="0" borderId="5" xfId="6" applyNumberFormat="1" applyFont="1" applyBorder="1" applyAlignment="1">
      <alignment horizontal="center" vertical="center"/>
    </xf>
    <xf numFmtId="180" fontId="7" fillId="0" borderId="0" xfId="6" applyNumberFormat="1" applyFont="1" applyBorder="1" applyAlignment="1">
      <alignment horizontal="center" vertical="center"/>
    </xf>
    <xf numFmtId="180" fontId="7" fillId="0" borderId="3" xfId="6" applyNumberFormat="1" applyFont="1" applyBorder="1" applyAlignment="1">
      <alignment horizontal="center" vertical="center"/>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39" xfId="5" applyNumberFormat="1" applyFont="1" applyFill="1" applyBorder="1" applyAlignment="1">
      <alignment horizontal="center" vertical="center" wrapText="1"/>
    </xf>
    <xf numFmtId="0" fontId="7" fillId="0" borderId="41" xfId="5" applyNumberFormat="1" applyFont="1" applyFill="1" applyBorder="1" applyAlignment="1">
      <alignment horizontal="center" vertical="center" wrapText="1"/>
    </xf>
    <xf numFmtId="0" fontId="7" fillId="0" borderId="20" xfId="5" applyNumberFormat="1" applyFont="1" applyFill="1" applyBorder="1" applyAlignment="1">
      <alignment horizontal="center" vertical="center" wrapText="1"/>
    </xf>
    <xf numFmtId="0" fontId="7" fillId="0" borderId="19" xfId="5" applyNumberFormat="1" applyFont="1" applyFill="1" applyBorder="1" applyAlignment="1">
      <alignment horizontal="center" vertical="center" wrapText="1"/>
    </xf>
    <xf numFmtId="0" fontId="7" fillId="0" borderId="24" xfId="5" applyNumberFormat="1" applyFont="1" applyFill="1" applyBorder="1" applyAlignment="1">
      <alignment horizontal="center" vertical="center" wrapText="1"/>
    </xf>
    <xf numFmtId="0" fontId="7" fillId="0" borderId="38" xfId="5" applyNumberFormat="1" applyFont="1" applyFill="1" applyBorder="1" applyAlignment="1">
      <alignment horizontal="center" vertical="center" wrapText="1"/>
    </xf>
    <xf numFmtId="0" fontId="7" fillId="0" borderId="35" xfId="5" applyNumberFormat="1" applyFont="1" applyFill="1" applyBorder="1" applyAlignment="1">
      <alignment horizontal="center" vertical="center" wrapText="1"/>
    </xf>
    <xf numFmtId="0" fontId="7" fillId="0" borderId="30" xfId="16" applyNumberFormat="1" applyFont="1" applyBorder="1" applyAlignment="1">
      <alignment horizontal="center" vertical="center" wrapText="1"/>
    </xf>
    <xf numFmtId="0" fontId="7" fillId="0" borderId="29" xfId="16" applyNumberFormat="1" applyFont="1" applyBorder="1" applyAlignment="1">
      <alignment horizontal="center" vertical="center" wrapText="1"/>
    </xf>
    <xf numFmtId="167" fontId="3" fillId="0" borderId="9" xfId="0" applyNumberFormat="1" applyFont="1" applyBorder="1" applyAlignment="1">
      <alignment horizontal="center" vertical="center"/>
    </xf>
    <xf numFmtId="167" fontId="3" fillId="0" borderId="14" xfId="0" applyNumberFormat="1" applyFont="1" applyBorder="1" applyAlignment="1">
      <alignment horizontal="center" vertical="center"/>
    </xf>
    <xf numFmtId="167" fontId="3" fillId="0" borderId="15"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10" fontId="3" fillId="2" borderId="29" xfId="3" applyNumberFormat="1" applyFont="1" applyFill="1" applyBorder="1" applyAlignment="1">
      <alignment horizontal="center" vertical="center"/>
    </xf>
    <xf numFmtId="180" fontId="7" fillId="0" borderId="63" xfId="6" applyNumberFormat="1" applyFont="1" applyBorder="1" applyAlignment="1">
      <alignment horizontal="center" vertical="center"/>
    </xf>
    <xf numFmtId="180" fontId="7" fillId="0" borderId="65" xfId="6" applyNumberFormat="1" applyFont="1" applyBorder="1" applyAlignment="1">
      <alignment horizontal="center" vertical="center"/>
    </xf>
    <xf numFmtId="180" fontId="7" fillId="0" borderId="66" xfId="6" applyNumberFormat="1" applyFont="1" applyBorder="1" applyAlignment="1">
      <alignment horizontal="center" vertical="center"/>
    </xf>
    <xf numFmtId="0" fontId="3" fillId="2" borderId="30" xfId="0" applyFont="1" applyFill="1" applyBorder="1" applyAlignment="1">
      <alignment horizontal="justify" vertical="center" wrapText="1"/>
    </xf>
    <xf numFmtId="0" fontId="3" fillId="0" borderId="2" xfId="0" applyFont="1" applyBorder="1" applyAlignment="1">
      <alignment horizontal="center" vertical="center"/>
    </xf>
    <xf numFmtId="0" fontId="7" fillId="0" borderId="42" xfId="0" applyFont="1" applyBorder="1" applyAlignment="1">
      <alignment horizontal="justify" vertical="center" wrapText="1"/>
    </xf>
    <xf numFmtId="0" fontId="7" fillId="0" borderId="25" xfId="0" applyFont="1" applyBorder="1" applyAlignment="1">
      <alignment horizontal="justify" vertical="center" wrapText="1"/>
    </xf>
    <xf numFmtId="0" fontId="7" fillId="0" borderId="17" xfId="16" applyNumberFormat="1" applyFont="1" applyBorder="1" applyAlignment="1">
      <alignment horizontal="center" vertical="center" wrapText="1"/>
    </xf>
    <xf numFmtId="0" fontId="7" fillId="0" borderId="36" xfId="0" applyFont="1" applyBorder="1" applyAlignment="1">
      <alignment horizontal="center" vertical="center"/>
    </xf>
    <xf numFmtId="0" fontId="7" fillId="0" borderId="32" xfId="0" applyFont="1" applyBorder="1" applyAlignment="1">
      <alignment horizontal="center"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4"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20" xfId="0" applyFont="1" applyBorder="1" applyAlignment="1">
      <alignment horizontal="justify" vertical="center" wrapText="1"/>
    </xf>
    <xf numFmtId="10" fontId="3" fillId="2" borderId="17" xfId="3" applyNumberFormat="1" applyFont="1" applyFill="1" applyBorder="1" applyAlignment="1">
      <alignment horizontal="center" vertical="center"/>
    </xf>
    <xf numFmtId="10" fontId="3" fillId="2" borderId="39" xfId="3" applyNumberFormat="1" applyFont="1" applyFill="1" applyBorder="1" applyAlignment="1">
      <alignment horizontal="center" vertical="center"/>
    </xf>
    <xf numFmtId="10" fontId="3" fillId="2" borderId="41" xfId="3" applyNumberFormat="1" applyFont="1" applyFill="1" applyBorder="1" applyAlignment="1">
      <alignment horizontal="center" vertical="center"/>
    </xf>
    <xf numFmtId="10" fontId="3" fillId="2" borderId="23" xfId="3" applyNumberFormat="1" applyFont="1" applyFill="1" applyBorder="1" applyAlignment="1">
      <alignment horizontal="center" vertical="center"/>
    </xf>
    <xf numFmtId="169" fontId="7" fillId="0" borderId="57" xfId="5" applyFont="1" applyFill="1" applyBorder="1" applyAlignment="1">
      <alignment horizontal="justify" vertical="center" wrapText="1"/>
    </xf>
    <xf numFmtId="169" fontId="7" fillId="0" borderId="0" xfId="5" applyFont="1" applyFill="1" applyBorder="1" applyAlignment="1">
      <alignment horizontal="justify" vertical="center" wrapText="1"/>
    </xf>
    <xf numFmtId="169" fontId="7" fillId="0" borderId="25" xfId="5" applyFont="1" applyFill="1" applyBorder="1" applyAlignment="1">
      <alignment horizontal="justify" vertical="center" wrapText="1"/>
    </xf>
    <xf numFmtId="0" fontId="7" fillId="2" borderId="51" xfId="0" applyFont="1" applyFill="1" applyBorder="1" applyAlignment="1">
      <alignment horizontal="justify" vertical="center" wrapText="1"/>
    </xf>
    <xf numFmtId="0" fontId="7" fillId="0" borderId="30" xfId="5" applyNumberFormat="1" applyFont="1" applyFill="1" applyBorder="1">
      <alignment horizontal="center" vertical="center" wrapText="1"/>
    </xf>
    <xf numFmtId="0" fontId="7" fillId="0" borderId="42" xfId="5" applyNumberFormat="1" applyFont="1" applyFill="1" applyBorder="1">
      <alignment horizontal="center" vertical="center" wrapText="1"/>
    </xf>
    <xf numFmtId="0" fontId="7" fillId="0" borderId="18" xfId="5" applyNumberFormat="1" applyFont="1" applyFill="1" applyBorder="1">
      <alignment horizontal="center" vertical="center" wrapText="1"/>
    </xf>
    <xf numFmtId="0" fontId="7" fillId="0" borderId="25" xfId="5" applyNumberFormat="1" applyFont="1" applyFill="1" applyBorder="1">
      <alignment horizontal="center" vertical="center" wrapText="1"/>
    </xf>
    <xf numFmtId="169" fontId="7" fillId="0" borderId="38" xfId="5" applyFont="1" applyFill="1" applyBorder="1" applyAlignment="1">
      <alignment horizontal="justify" vertical="center" wrapText="1"/>
    </xf>
    <xf numFmtId="169" fontId="7" fillId="0" borderId="26" xfId="5" applyFont="1" applyFill="1" applyBorder="1" applyAlignment="1">
      <alignment horizontal="justify" vertical="center" wrapText="1"/>
    </xf>
    <xf numFmtId="169" fontId="7" fillId="0" borderId="24" xfId="5" applyFont="1" applyFill="1" applyBorder="1" applyAlignment="1">
      <alignment horizontal="justify" vertical="center" wrapText="1"/>
    </xf>
    <xf numFmtId="0" fontId="3" fillId="2" borderId="6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2" xfId="0" applyFont="1" applyFill="1" applyBorder="1" applyAlignment="1">
      <alignment horizontal="center" vertical="center"/>
    </xf>
    <xf numFmtId="180" fontId="7" fillId="0" borderId="38" xfId="6" applyNumberFormat="1" applyFont="1" applyBorder="1" applyAlignment="1">
      <alignment horizontal="center" vertical="center"/>
    </xf>
    <xf numFmtId="180" fontId="7" fillId="0" borderId="26" xfId="6" applyNumberFormat="1" applyFont="1" applyBorder="1" applyAlignment="1">
      <alignment horizontal="center" vertical="center"/>
    </xf>
    <xf numFmtId="180" fontId="7" fillId="0" borderId="24" xfId="6" applyNumberFormat="1" applyFont="1" applyBorder="1" applyAlignment="1">
      <alignment horizontal="center" vertical="center"/>
    </xf>
    <xf numFmtId="0" fontId="7" fillId="0" borderId="17" xfId="5" applyNumberFormat="1" applyFont="1" applyFill="1" applyBorder="1">
      <alignment horizontal="center" vertical="center" wrapText="1"/>
    </xf>
    <xf numFmtId="167" fontId="3" fillId="0" borderId="2" xfId="0" applyNumberFormat="1" applyFont="1" applyBorder="1" applyAlignment="1">
      <alignment horizontal="center" vertical="center"/>
    </xf>
    <xf numFmtId="168" fontId="3" fillId="2" borderId="9" xfId="0" applyNumberFormat="1" applyFont="1" applyFill="1" applyBorder="1" applyAlignment="1">
      <alignment horizontal="center" vertical="center"/>
    </xf>
    <xf numFmtId="168" fontId="3" fillId="2" borderId="15"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167" fontId="7" fillId="0" borderId="9" xfId="0" applyNumberFormat="1" applyFont="1" applyBorder="1" applyAlignment="1">
      <alignment horizontal="center" vertical="center"/>
    </xf>
    <xf numFmtId="167" fontId="7" fillId="0" borderId="14" xfId="0" applyNumberFormat="1" applyFont="1" applyBorder="1" applyAlignment="1">
      <alignment horizontal="center" vertical="center"/>
    </xf>
    <xf numFmtId="167" fontId="7" fillId="0" borderId="15" xfId="0" applyNumberFormat="1" applyFont="1" applyBorder="1" applyAlignment="1">
      <alignment horizontal="center" vertical="center"/>
    </xf>
    <xf numFmtId="1" fontId="7" fillId="0" borderId="13" xfId="0" applyNumberFormat="1" applyFont="1" applyBorder="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7" fillId="0" borderId="13" xfId="0" applyFont="1" applyBorder="1" applyAlignment="1">
      <alignment horizontal="center"/>
    </xf>
    <xf numFmtId="0" fontId="7" fillId="0" borderId="6"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9" xfId="5" applyNumberFormat="1" applyFont="1" applyFill="1" applyBorder="1">
      <alignment horizontal="center" vertical="center" wrapText="1"/>
    </xf>
    <xf numFmtId="0" fontId="7" fillId="0" borderId="14" xfId="5" applyNumberFormat="1" applyFont="1" applyFill="1" applyBorder="1">
      <alignment horizontal="center" vertical="center" wrapText="1"/>
    </xf>
    <xf numFmtId="0" fontId="7" fillId="0" borderId="15" xfId="5" applyNumberFormat="1" applyFont="1" applyFill="1" applyBorder="1">
      <alignment horizontal="center" vertical="center" wrapText="1"/>
    </xf>
    <xf numFmtId="0" fontId="7" fillId="0" borderId="8" xfId="5" applyNumberFormat="1" applyFont="1" applyFill="1" applyBorder="1">
      <alignment horizontal="center" vertical="center" wrapText="1"/>
    </xf>
    <xf numFmtId="0" fontId="7" fillId="0" borderId="13" xfId="5" applyNumberFormat="1" applyFont="1" applyFill="1" applyBorder="1">
      <alignment horizontal="center" vertical="center" wrapText="1"/>
    </xf>
    <xf numFmtId="0" fontId="7" fillId="0" borderId="6" xfId="5" applyNumberFormat="1" applyFont="1" applyFill="1" applyBorder="1">
      <alignment horizontal="center" vertical="center" wrapText="1"/>
    </xf>
    <xf numFmtId="0" fontId="7" fillId="0" borderId="3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7" fillId="0" borderId="29" xfId="0" applyFont="1" applyBorder="1" applyAlignment="1">
      <alignment horizontal="justify" vertical="center" wrapText="1"/>
    </xf>
    <xf numFmtId="9" fontId="7" fillId="0" borderId="9" xfId="3" applyFont="1" applyFill="1" applyBorder="1" applyAlignment="1">
      <alignment horizontal="center" vertical="center" wrapText="1"/>
    </xf>
    <xf numFmtId="9" fontId="7" fillId="0" borderId="14" xfId="3" applyFont="1" applyFill="1" applyBorder="1" applyAlignment="1">
      <alignment horizontal="center" vertical="center" wrapText="1"/>
    </xf>
    <xf numFmtId="43" fontId="7" fillId="0" borderId="9" xfId="1" applyFont="1" applyBorder="1" applyAlignment="1">
      <alignment horizontal="center" vertical="center" wrapText="1"/>
    </xf>
    <xf numFmtId="43" fontId="7" fillId="0" borderId="14" xfId="1" applyFont="1" applyBorder="1" applyAlignment="1">
      <alignment horizontal="center" vertical="center" wrapText="1"/>
    </xf>
    <xf numFmtId="0" fontId="7" fillId="2" borderId="22" xfId="0" applyFont="1" applyFill="1" applyBorder="1" applyAlignment="1">
      <alignment horizontal="justify" vertical="center" wrapText="1"/>
    </xf>
    <xf numFmtId="0" fontId="7" fillId="2" borderId="31" xfId="0" applyFont="1" applyFill="1" applyBorder="1" applyAlignment="1">
      <alignment horizontal="justify" vertical="center" wrapText="1"/>
    </xf>
    <xf numFmtId="0" fontId="7" fillId="0" borderId="7"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6" xfId="0" applyFont="1" applyBorder="1" applyAlignment="1">
      <alignment horizontal="justify" vertical="center" wrapText="1"/>
    </xf>
    <xf numFmtId="43" fontId="7" fillId="0" borderId="9" xfId="1" applyFont="1" applyBorder="1" applyAlignment="1">
      <alignment horizontal="center" vertical="center"/>
    </xf>
    <xf numFmtId="43" fontId="7" fillId="0" borderId="14" xfId="1" applyFont="1" applyBorder="1" applyAlignment="1">
      <alignment horizontal="center" vertical="center"/>
    </xf>
    <xf numFmtId="43" fontId="7" fillId="0" borderId="15" xfId="1" applyFont="1" applyBorder="1" applyAlignment="1">
      <alignment horizontal="center" vertical="center"/>
    </xf>
    <xf numFmtId="0" fontId="7" fillId="2" borderId="22"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9" xfId="3" applyFont="1" applyFill="1" applyBorder="1" applyAlignment="1">
      <alignment horizontal="center" vertical="center"/>
    </xf>
    <xf numFmtId="9" fontId="7" fillId="0" borderId="14" xfId="3" applyFont="1" applyFill="1" applyBorder="1" applyAlignment="1">
      <alignment horizontal="center" vertical="center"/>
    </xf>
    <xf numFmtId="9" fontId="7" fillId="0" borderId="15" xfId="3" applyFont="1" applyFill="1" applyBorder="1" applyAlignment="1">
      <alignment horizontal="center" vertical="center"/>
    </xf>
    <xf numFmtId="1" fontId="7" fillId="2" borderId="9" xfId="0" applyNumberFormat="1" applyFont="1" applyFill="1" applyBorder="1" applyAlignment="1">
      <alignment horizontal="center" vertical="center" wrapText="1"/>
    </xf>
    <xf numFmtId="1" fontId="7" fillId="2" borderId="14"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0" fontId="7" fillId="0" borderId="33" xfId="0" applyFont="1" applyBorder="1" applyAlignment="1">
      <alignment horizontal="center" vertical="center" wrapText="1"/>
    </xf>
    <xf numFmtId="1" fontId="7" fillId="0" borderId="9"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9" fontId="7" fillId="0" borderId="15" xfId="3" applyFont="1" applyFill="1" applyBorder="1" applyAlignment="1">
      <alignment horizontal="center" vertical="center" wrapText="1"/>
    </xf>
    <xf numFmtId="167" fontId="7" fillId="0" borderId="36" xfId="0" applyNumberFormat="1" applyFont="1" applyBorder="1" applyAlignment="1">
      <alignment horizontal="center" vertical="center"/>
    </xf>
    <xf numFmtId="167" fontId="7" fillId="0" borderId="27" xfId="0" applyNumberFormat="1" applyFont="1" applyBorder="1" applyAlignment="1">
      <alignment horizontal="center" vertical="center"/>
    </xf>
    <xf numFmtId="167" fontId="7" fillId="0" borderId="37" xfId="0" applyNumberFormat="1" applyFont="1" applyBorder="1" applyAlignment="1">
      <alignment horizontal="center" vertical="center"/>
    </xf>
    <xf numFmtId="0" fontId="7" fillId="2" borderId="2" xfId="0" applyFont="1" applyFill="1" applyBorder="1" applyAlignment="1">
      <alignment horizontal="left" vertical="center" wrapText="1"/>
    </xf>
    <xf numFmtId="0" fontId="7" fillId="2" borderId="24" xfId="0" applyFont="1" applyFill="1" applyBorder="1" applyAlignment="1">
      <alignment horizontal="left" vertical="center" wrapText="1"/>
    </xf>
    <xf numFmtId="1" fontId="7" fillId="2" borderId="14" xfId="6" applyNumberFormat="1" applyFont="1" applyFill="1" applyBorder="1" applyAlignment="1">
      <alignment horizontal="center" vertical="center" wrapText="1"/>
    </xf>
    <xf numFmtId="1" fontId="7" fillId="2" borderId="33" xfId="6"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9" fontId="7" fillId="0" borderId="17" xfId="3" applyFont="1" applyFill="1" applyBorder="1" applyAlignment="1">
      <alignment horizontal="center" vertical="center" wrapText="1"/>
    </xf>
    <xf numFmtId="43" fontId="7" fillId="0" borderId="17" xfId="1" applyFont="1" applyBorder="1" applyAlignment="1">
      <alignment horizontal="center" vertical="center"/>
    </xf>
    <xf numFmtId="1" fontId="7" fillId="2" borderId="2" xfId="6" applyNumberFormat="1"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31" xfId="0" applyFont="1" applyFill="1" applyBorder="1" applyAlignment="1">
      <alignment horizontal="left" vertical="center" wrapText="1"/>
    </xf>
    <xf numFmtId="1" fontId="7" fillId="2" borderId="15" xfId="6" applyNumberFormat="1" applyFont="1" applyFill="1" applyBorder="1" applyAlignment="1">
      <alignment horizontal="center" vertical="center" wrapText="1"/>
    </xf>
    <xf numFmtId="3" fontId="7" fillId="0" borderId="2" xfId="0" applyNumberFormat="1" applyFont="1" applyBorder="1" applyAlignment="1">
      <alignment horizontal="justify" vertical="center" wrapText="1"/>
    </xf>
    <xf numFmtId="3" fontId="7" fillId="0" borderId="1" xfId="0" applyNumberFormat="1" applyFont="1" applyBorder="1" applyAlignment="1">
      <alignment horizontal="justify" vertical="center" wrapText="1"/>
    </xf>
    <xf numFmtId="1" fontId="7" fillId="2" borderId="27" xfId="6" applyNumberFormat="1" applyFont="1" applyFill="1" applyBorder="1" applyAlignment="1">
      <alignment horizontal="center" vertical="center" wrapText="1"/>
    </xf>
    <xf numFmtId="1" fontId="7" fillId="2" borderId="32" xfId="6" applyNumberFormat="1" applyFont="1" applyFill="1" applyBorder="1" applyAlignment="1">
      <alignment horizontal="center" vertical="center" wrapText="1"/>
    </xf>
    <xf numFmtId="0" fontId="7" fillId="0" borderId="84"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5" xfId="0" applyFont="1" applyFill="1" applyBorder="1" applyAlignment="1">
      <alignment horizontal="center" vertical="center" wrapText="1"/>
    </xf>
    <xf numFmtId="1" fontId="7" fillId="2" borderId="9" xfId="6" applyNumberFormat="1" applyFont="1" applyFill="1" applyBorder="1" applyAlignment="1">
      <alignment horizontal="center" vertical="center" wrapText="1"/>
    </xf>
    <xf numFmtId="10" fontId="7" fillId="0" borderId="38" xfId="3" applyNumberFormat="1" applyFont="1" applyFill="1" applyBorder="1" applyAlignment="1">
      <alignment horizontal="center" vertical="center" wrapText="1"/>
    </xf>
    <xf numFmtId="10" fontId="7" fillId="0" borderId="26" xfId="3" applyNumberFormat="1" applyFont="1" applyFill="1" applyBorder="1" applyAlignment="1">
      <alignment horizontal="center" vertical="center" wrapText="1"/>
    </xf>
    <xf numFmtId="10" fontId="7" fillId="0" borderId="24" xfId="3" applyNumberFormat="1" applyFont="1" applyFill="1" applyBorder="1" applyAlignment="1">
      <alignment horizontal="center" vertical="center" wrapText="1"/>
    </xf>
    <xf numFmtId="43" fontId="7" fillId="0" borderId="17" xfId="1" applyFont="1" applyFill="1" applyBorder="1" applyAlignment="1">
      <alignment horizontal="center" vertical="center"/>
    </xf>
    <xf numFmtId="1" fontId="7" fillId="2" borderId="36" xfId="0" applyNumberFormat="1" applyFont="1" applyFill="1" applyBorder="1" applyAlignment="1">
      <alignment horizontal="center" vertical="center" wrapText="1"/>
    </xf>
    <xf numFmtId="1" fontId="7" fillId="2" borderId="27" xfId="0" applyNumberFormat="1" applyFont="1" applyFill="1" applyBorder="1" applyAlignment="1">
      <alignment horizontal="center" vertical="center" wrapText="1"/>
    </xf>
    <xf numFmtId="1" fontId="7" fillId="2" borderId="32" xfId="0" applyNumberFormat="1" applyFont="1" applyFill="1" applyBorder="1" applyAlignment="1">
      <alignment horizontal="center" vertical="center" wrapText="1"/>
    </xf>
    <xf numFmtId="0" fontId="7" fillId="0" borderId="5" xfId="0" applyFont="1" applyBorder="1" applyAlignment="1">
      <alignment horizontal="center"/>
    </xf>
    <xf numFmtId="0" fontId="7" fillId="0" borderId="7" xfId="0" applyFont="1" applyBorder="1" applyAlignment="1">
      <alignment horizontal="center"/>
    </xf>
    <xf numFmtId="0" fontId="7" fillId="2" borderId="9" xfId="0" applyFont="1" applyFill="1" applyBorder="1" applyAlignment="1">
      <alignment horizontal="justify" vertical="center" wrapText="1"/>
    </xf>
    <xf numFmtId="0" fontId="7" fillId="2" borderId="15" xfId="0" applyFont="1" applyFill="1" applyBorder="1" applyAlignment="1">
      <alignment horizontal="justify" vertical="center" wrapText="1"/>
    </xf>
    <xf numFmtId="10" fontId="7" fillId="2" borderId="9" xfId="3" applyNumberFormat="1" applyFont="1" applyFill="1" applyBorder="1" applyAlignment="1">
      <alignment horizontal="center" vertical="center" wrapText="1"/>
    </xf>
    <xf numFmtId="10" fontId="7" fillId="2" borderId="15" xfId="3" applyNumberFormat="1" applyFont="1" applyFill="1" applyBorder="1" applyAlignment="1">
      <alignment horizontal="center" vertical="center" wrapText="1"/>
    </xf>
    <xf numFmtId="43" fontId="7" fillId="0" borderId="9" xfId="1" applyFont="1" applyFill="1" applyBorder="1" applyAlignment="1">
      <alignment horizontal="center" vertical="center"/>
    </xf>
    <xf numFmtId="43" fontId="7" fillId="0" borderId="15" xfId="1" applyFont="1" applyFill="1" applyBorder="1" applyAlignment="1">
      <alignment horizontal="center" vertical="center"/>
    </xf>
    <xf numFmtId="3" fontId="7" fillId="2" borderId="2" xfId="0" applyNumberFormat="1" applyFont="1" applyFill="1" applyBorder="1" applyAlignment="1">
      <alignment horizontal="justify" vertical="center" wrapText="1"/>
    </xf>
    <xf numFmtId="3" fontId="7" fillId="2" borderId="15" xfId="0" applyNumberFormat="1" applyFont="1" applyFill="1" applyBorder="1" applyAlignment="1">
      <alignment horizontal="justify" vertical="center" wrapText="1"/>
    </xf>
    <xf numFmtId="1" fontId="7" fillId="2" borderId="7" xfId="6" applyNumberFormat="1" applyFont="1" applyFill="1" applyBorder="1" applyAlignment="1">
      <alignment horizontal="center" vertical="center" wrapText="1"/>
    </xf>
    <xf numFmtId="1" fontId="7" fillId="2" borderId="4" xfId="6" applyNumberFormat="1" applyFont="1" applyFill="1" applyBorder="1" applyAlignment="1">
      <alignment horizontal="center" vertical="center" wrapText="1"/>
    </xf>
    <xf numFmtId="167" fontId="7" fillId="0" borderId="24" xfId="0" applyNumberFormat="1" applyFont="1" applyBorder="1" applyAlignment="1">
      <alignment horizontal="center" vertical="center"/>
    </xf>
    <xf numFmtId="167" fontId="7" fillId="0" borderId="17" xfId="0" applyNumberFormat="1" applyFont="1" applyBorder="1" applyAlignment="1">
      <alignment horizontal="center" vertical="center"/>
    </xf>
    <xf numFmtId="0" fontId="7" fillId="2" borderId="24" xfId="0" applyFont="1" applyFill="1" applyBorder="1" applyAlignment="1">
      <alignment horizontal="center" vertical="center"/>
    </xf>
    <xf numFmtId="0" fontId="7" fillId="2" borderId="17" xfId="0" applyFont="1" applyFill="1" applyBorder="1" applyAlignment="1">
      <alignment horizontal="center" vertical="center"/>
    </xf>
    <xf numFmtId="0" fontId="7" fillId="0" borderId="24" xfId="0" applyFont="1" applyFill="1" applyBorder="1" applyAlignment="1">
      <alignment horizontal="center" vertical="center" wrapText="1"/>
    </xf>
    <xf numFmtId="9" fontId="7" fillId="0" borderId="24" xfId="3" applyFont="1" applyFill="1" applyBorder="1" applyAlignment="1">
      <alignment horizontal="center" vertical="center" wrapText="1"/>
    </xf>
    <xf numFmtId="43" fontId="7" fillId="0" borderId="24" xfId="1" applyFont="1" applyBorder="1" applyAlignment="1">
      <alignment horizontal="center" vertical="center"/>
    </xf>
    <xf numFmtId="1" fontId="7" fillId="2" borderId="60" xfId="0" applyNumberFormat="1" applyFont="1" applyFill="1" applyBorder="1" applyAlignment="1">
      <alignment horizontal="center" vertical="center" wrapText="1"/>
    </xf>
    <xf numFmtId="1" fontId="7" fillId="2" borderId="37" xfId="0" applyNumberFormat="1" applyFont="1" applyFill="1" applyBorder="1" applyAlignment="1">
      <alignment horizontal="center" vertical="center" wrapText="1"/>
    </xf>
    <xf numFmtId="0" fontId="7" fillId="2" borderId="1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37" xfId="0" applyFont="1" applyFill="1" applyBorder="1" applyAlignment="1">
      <alignment horizontal="left" vertical="center" wrapText="1"/>
    </xf>
    <xf numFmtId="1" fontId="7" fillId="0" borderId="17" xfId="0" applyNumberFormat="1" applyFont="1" applyFill="1" applyBorder="1" applyAlignment="1">
      <alignment horizontal="center" vertical="center" wrapText="1"/>
    </xf>
    <xf numFmtId="1" fontId="7" fillId="0" borderId="38" xfId="0" applyNumberFormat="1" applyFont="1" applyFill="1" applyBorder="1" applyAlignment="1">
      <alignment horizontal="center" vertical="center" wrapText="1"/>
    </xf>
    <xf numFmtId="1" fontId="7" fillId="0" borderId="26" xfId="0" applyNumberFormat="1" applyFont="1" applyFill="1" applyBorder="1" applyAlignment="1">
      <alignment horizontal="center" vertical="center" wrapText="1"/>
    </xf>
    <xf numFmtId="1" fontId="7" fillId="0" borderId="24" xfId="0" applyNumberFormat="1" applyFont="1" applyFill="1" applyBorder="1" applyAlignment="1">
      <alignment horizontal="center" vertical="center" wrapText="1"/>
    </xf>
    <xf numFmtId="167" fontId="7" fillId="0" borderId="30" xfId="0" applyNumberFormat="1" applyFont="1" applyBorder="1" applyAlignment="1">
      <alignment horizontal="center" vertical="center"/>
    </xf>
    <xf numFmtId="10" fontId="7" fillId="0" borderId="17" xfId="3" applyNumberFormat="1" applyFont="1" applyFill="1" applyBorder="1" applyAlignment="1">
      <alignment horizontal="center" vertical="center" wrapText="1"/>
    </xf>
    <xf numFmtId="0" fontId="7" fillId="2" borderId="38" xfId="0" applyFont="1" applyFill="1" applyBorder="1" applyAlignment="1">
      <alignment horizontal="justify" vertical="center" wrapText="1"/>
    </xf>
    <xf numFmtId="0" fontId="7" fillId="2" borderId="29" xfId="0" applyFont="1" applyFill="1" applyBorder="1" applyAlignment="1">
      <alignment horizontal="justify" vertical="center" wrapText="1"/>
    </xf>
    <xf numFmtId="0" fontId="7" fillId="0" borderId="39" xfId="0" applyFont="1" applyFill="1" applyBorder="1" applyAlignment="1">
      <alignment horizontal="justify" vertical="center" wrapText="1"/>
    </xf>
    <xf numFmtId="1" fontId="7" fillId="0" borderId="24" xfId="6" applyNumberFormat="1" applyFont="1" applyFill="1" applyBorder="1" applyAlignment="1">
      <alignment horizontal="center" vertical="center" wrapText="1"/>
    </xf>
    <xf numFmtId="1" fontId="7" fillId="0" borderId="17" xfId="6" applyNumberFormat="1" applyFont="1" applyFill="1" applyBorder="1" applyAlignment="1">
      <alignment horizontal="center" vertical="center" wrapText="1"/>
    </xf>
    <xf numFmtId="1" fontId="7" fillId="0" borderId="38" xfId="6" applyNumberFormat="1" applyFont="1" applyFill="1" applyBorder="1" applyAlignment="1">
      <alignment horizontal="center" vertical="center" wrapText="1"/>
    </xf>
    <xf numFmtId="1" fontId="7" fillId="0" borderId="26" xfId="6" applyNumberFormat="1" applyFont="1" applyFill="1" applyBorder="1" applyAlignment="1">
      <alignment horizontal="center" vertical="center" wrapText="1"/>
    </xf>
    <xf numFmtId="167" fontId="7" fillId="0" borderId="26" xfId="0" applyNumberFormat="1" applyFont="1" applyBorder="1" applyAlignment="1">
      <alignment horizontal="center" vertical="center"/>
    </xf>
    <xf numFmtId="167" fontId="7" fillId="0" borderId="38" xfId="0" applyNumberFormat="1" applyFont="1" applyBorder="1" applyAlignment="1">
      <alignment horizontal="center" vertical="center"/>
    </xf>
    <xf numFmtId="1" fontId="7" fillId="2" borderId="24" xfId="6" applyNumberFormat="1" applyFont="1" applyFill="1" applyBorder="1" applyAlignment="1">
      <alignment horizontal="center" vertical="center" wrapText="1"/>
    </xf>
    <xf numFmtId="1" fontId="7" fillId="2" borderId="17" xfId="6" applyNumberFormat="1" applyFont="1" applyFill="1" applyBorder="1" applyAlignment="1">
      <alignment horizontal="center" vertical="center" wrapText="1"/>
    </xf>
    <xf numFmtId="1" fontId="7" fillId="2" borderId="38" xfId="6"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43" fontId="7" fillId="0" borderId="19" xfId="1" applyFont="1" applyFill="1" applyBorder="1" applyAlignment="1">
      <alignment horizontal="center" vertical="center"/>
    </xf>
    <xf numFmtId="43" fontId="7" fillId="0" borderId="26" xfId="1" applyFont="1" applyFill="1" applyBorder="1" applyAlignment="1">
      <alignment horizontal="center" vertical="center"/>
    </xf>
    <xf numFmtId="43" fontId="7" fillId="0" borderId="24" xfId="1" applyFont="1" applyFill="1" applyBorder="1" applyAlignment="1">
      <alignment horizontal="center" vertical="center"/>
    </xf>
    <xf numFmtId="3" fontId="7" fillId="0" borderId="24" xfId="0" applyNumberFormat="1" applyFont="1" applyBorder="1" applyAlignment="1">
      <alignment horizontal="justify" vertical="center" wrapText="1"/>
    </xf>
    <xf numFmtId="3" fontId="7" fillId="0" borderId="17" xfId="0" applyNumberFormat="1" applyFont="1" applyBorder="1" applyAlignment="1">
      <alignment horizontal="justify" vertical="center" wrapText="1"/>
    </xf>
    <xf numFmtId="3" fontId="7" fillId="0" borderId="38" xfId="0" applyNumberFormat="1" applyFont="1" applyBorder="1" applyAlignment="1">
      <alignment horizontal="justify" vertical="center" wrapText="1"/>
    </xf>
    <xf numFmtId="0" fontId="7" fillId="0" borderId="42" xfId="0" applyFont="1" applyBorder="1" applyAlignment="1">
      <alignment horizontal="center" vertical="center" wrapText="1"/>
    </xf>
    <xf numFmtId="43" fontId="7" fillId="0" borderId="38" xfId="1" applyFont="1" applyBorder="1" applyAlignment="1">
      <alignment horizontal="center" vertical="center"/>
    </xf>
    <xf numFmtId="0" fontId="7" fillId="2" borderId="6" xfId="0" applyFont="1" applyFill="1" applyBorder="1" applyAlignment="1">
      <alignment horizontal="justify" vertical="center" wrapText="1"/>
    </xf>
    <xf numFmtId="0" fontId="7" fillId="2" borderId="2" xfId="0" applyFont="1" applyFill="1" applyBorder="1" applyAlignment="1">
      <alignment horizontal="justify" vertical="center" wrapText="1"/>
    </xf>
    <xf numFmtId="1" fontId="6" fillId="2" borderId="0" xfId="0" applyNumberFormat="1" applyFont="1" applyFill="1" applyAlignment="1">
      <alignment horizontal="center" vertical="center" wrapText="1"/>
    </xf>
    <xf numFmtId="1" fontId="6" fillId="2" borderId="1"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justify" vertical="center" wrapText="1"/>
    </xf>
    <xf numFmtId="1" fontId="7" fillId="0" borderId="9"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3" fontId="7" fillId="0" borderId="9" xfId="0" applyNumberFormat="1" applyFont="1" applyBorder="1" applyAlignment="1">
      <alignment horizontal="justify" vertical="center" wrapText="1"/>
    </xf>
    <xf numFmtId="3" fontId="7" fillId="0" borderId="14" xfId="0" applyNumberFormat="1" applyFont="1" applyBorder="1" applyAlignment="1">
      <alignment horizontal="justify" vertical="center" wrapText="1"/>
    </xf>
    <xf numFmtId="3" fontId="7" fillId="2" borderId="14" xfId="0" applyNumberFormat="1" applyFont="1" applyFill="1" applyBorder="1" applyAlignment="1">
      <alignment horizontal="justify" vertical="center" wrapText="1"/>
    </xf>
    <xf numFmtId="3" fontId="7" fillId="2" borderId="13" xfId="0" applyNumberFormat="1" applyFont="1" applyFill="1" applyBorder="1" applyAlignment="1">
      <alignment horizontal="justify" vertical="center" wrapText="1"/>
    </xf>
    <xf numFmtId="3" fontId="7" fillId="0" borderId="13" xfId="0" applyNumberFormat="1" applyFont="1" applyBorder="1" applyAlignment="1">
      <alignment horizontal="justify" vertical="center" wrapText="1"/>
    </xf>
    <xf numFmtId="0" fontId="7" fillId="2" borderId="8"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5" borderId="14" xfId="0" applyFont="1" applyFill="1" applyBorder="1" applyAlignment="1">
      <alignment horizontal="center" vertical="center" wrapText="1"/>
    </xf>
    <xf numFmtId="0" fontId="7" fillId="15" borderId="14" xfId="0" applyFont="1" applyFill="1" applyBorder="1" applyAlignment="1">
      <alignment horizontal="center" vertical="center" wrapText="1"/>
    </xf>
    <xf numFmtId="9" fontId="7" fillId="2" borderId="14" xfId="3" applyFont="1" applyFill="1" applyBorder="1" applyAlignment="1">
      <alignment horizontal="center" vertical="center" wrapText="1"/>
    </xf>
    <xf numFmtId="1" fontId="7" fillId="0" borderId="36" xfId="0" applyNumberFormat="1" applyFont="1" applyFill="1" applyBorder="1" applyAlignment="1">
      <alignment horizontal="center" vertical="center" wrapText="1"/>
    </xf>
    <xf numFmtId="1" fontId="7" fillId="0" borderId="27" xfId="0" applyNumberFormat="1" applyFont="1" applyFill="1" applyBorder="1" applyAlignment="1">
      <alignment horizontal="center" vertical="center" wrapText="1"/>
    </xf>
    <xf numFmtId="1" fontId="7" fillId="2" borderId="84"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3" fontId="7" fillId="2" borderId="17" xfId="0" applyNumberFormat="1" applyFont="1" applyFill="1" applyBorder="1" applyAlignment="1">
      <alignment horizontal="justify" vertical="center" wrapText="1"/>
    </xf>
    <xf numFmtId="0" fontId="7" fillId="2" borderId="17" xfId="0" applyFont="1" applyFill="1" applyBorder="1" applyAlignment="1">
      <alignment horizontal="center" vertical="center" wrapText="1"/>
    </xf>
    <xf numFmtId="0" fontId="7" fillId="0" borderId="17" xfId="0" applyFont="1" applyFill="1" applyBorder="1" applyAlignment="1">
      <alignment horizontal="justify" vertical="center" wrapText="1"/>
    </xf>
    <xf numFmtId="10" fontId="7" fillId="2" borderId="17" xfId="3" applyNumberFormat="1" applyFont="1" applyFill="1" applyBorder="1" applyAlignment="1">
      <alignment horizontal="center" vertical="center" wrapText="1"/>
    </xf>
    <xf numFmtId="1" fontId="7" fillId="2" borderId="26" xfId="6" applyNumberFormat="1" applyFont="1" applyFill="1" applyBorder="1" applyAlignment="1">
      <alignment horizontal="center" vertical="center" wrapText="1"/>
    </xf>
    <xf numFmtId="0" fontId="7" fillId="0" borderId="30" xfId="16" applyNumberFormat="1" applyFont="1" applyFill="1" applyBorder="1" applyAlignment="1">
      <alignment horizontal="center" vertical="center" wrapText="1"/>
    </xf>
    <xf numFmtId="3" fontId="7" fillId="0" borderId="29" xfId="0" applyNumberFormat="1" applyFont="1" applyBorder="1" applyAlignment="1">
      <alignment horizontal="justify" vertical="center" wrapText="1"/>
    </xf>
    <xf numFmtId="0" fontId="7" fillId="2" borderId="38" xfId="0" applyFont="1" applyFill="1" applyBorder="1" applyAlignment="1">
      <alignment horizontal="left" vertical="center" wrapText="1"/>
    </xf>
    <xf numFmtId="10" fontId="7" fillId="2" borderId="38" xfId="3" applyNumberFormat="1" applyFont="1" applyFill="1" applyBorder="1" applyAlignment="1">
      <alignment horizontal="center" vertical="center" wrapText="1"/>
    </xf>
    <xf numFmtId="10" fontId="7" fillId="2" borderId="26" xfId="3" applyNumberFormat="1" applyFont="1" applyFill="1" applyBorder="1" applyAlignment="1">
      <alignment horizontal="center" vertical="center" wrapText="1"/>
    </xf>
    <xf numFmtId="10" fontId="7" fillId="2" borderId="24" xfId="3" applyNumberFormat="1" applyFont="1" applyFill="1" applyBorder="1" applyAlignment="1">
      <alignment horizontal="center" vertical="center" wrapText="1"/>
    </xf>
    <xf numFmtId="10" fontId="7" fillId="0" borderId="17" xfId="3" applyNumberFormat="1" applyFont="1" applyFill="1" applyBorder="1" applyAlignment="1">
      <alignment horizontal="center" vertical="center"/>
    </xf>
    <xf numFmtId="9" fontId="7" fillId="0" borderId="29" xfId="3" applyFont="1" applyFill="1" applyBorder="1" applyAlignment="1">
      <alignment horizontal="center" vertical="center" wrapText="1"/>
    </xf>
    <xf numFmtId="43" fontId="7" fillId="0" borderId="17" xfId="1" applyFont="1" applyBorder="1" applyAlignment="1">
      <alignment horizontal="right" vertical="center"/>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wrapText="1"/>
    </xf>
    <xf numFmtId="0" fontId="6" fillId="12" borderId="9"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 fontId="6" fillId="3" borderId="7"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7" fontId="6" fillId="3" borderId="8" xfId="0" applyNumberFormat="1" applyFont="1" applyFill="1" applyBorder="1" applyAlignment="1">
      <alignment horizontal="center" vertical="center" wrapText="1"/>
    </xf>
    <xf numFmtId="167" fontId="6" fillId="3" borderId="6" xfId="0" applyNumberFormat="1"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3" fontId="6" fillId="3" borderId="1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0" xfId="0" applyFont="1" applyFill="1" applyAlignment="1">
      <alignment horizontal="center" wrapText="1"/>
    </xf>
    <xf numFmtId="0" fontId="3" fillId="2" borderId="15" xfId="0" applyFont="1" applyFill="1" applyBorder="1" applyAlignment="1">
      <alignment horizontal="center" vertical="center"/>
    </xf>
    <xf numFmtId="9" fontId="3" fillId="2" borderId="2" xfId="3" applyNumberFormat="1" applyFont="1" applyFill="1" applyBorder="1" applyAlignment="1">
      <alignment horizontal="center" vertical="center"/>
    </xf>
    <xf numFmtId="0" fontId="2" fillId="2" borderId="1" xfId="0" applyFont="1" applyFill="1" applyBorder="1" applyAlignment="1">
      <alignment horizontal="center" vertical="center" wrapText="1"/>
    </xf>
    <xf numFmtId="173" fontId="3" fillId="0" borderId="2" xfId="7" applyFont="1" applyFill="1" applyBorder="1" applyAlignment="1">
      <alignment horizontal="center" vertical="center"/>
    </xf>
    <xf numFmtId="0" fontId="7" fillId="2" borderId="9" xfId="4" applyNumberFormat="1" applyFont="1" applyFill="1" applyBorder="1" applyAlignment="1">
      <alignment horizontal="center" vertical="center" wrapText="1"/>
    </xf>
    <xf numFmtId="0" fontId="7" fillId="2" borderId="14" xfId="4" applyNumberFormat="1" applyFont="1" applyFill="1" applyBorder="1" applyAlignment="1">
      <alignment horizontal="center" vertical="center" wrapText="1"/>
    </xf>
    <xf numFmtId="0" fontId="7" fillId="2" borderId="15" xfId="4" applyNumberFormat="1" applyFont="1" applyFill="1" applyBorder="1" applyAlignment="1">
      <alignment horizontal="center" vertical="center" wrapText="1"/>
    </xf>
    <xf numFmtId="0" fontId="7" fillId="2" borderId="59" xfId="0" applyFont="1" applyFill="1" applyBorder="1" applyAlignment="1">
      <alignment horizontal="justify" vertical="center" wrapText="1"/>
    </xf>
    <xf numFmtId="0" fontId="7" fillId="0" borderId="15" xfId="0" applyFont="1" applyFill="1" applyBorder="1" applyAlignment="1">
      <alignment horizontal="justify" vertical="center" wrapText="1"/>
    </xf>
    <xf numFmtId="3" fontId="3" fillId="0" borderId="9"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15" xfId="0" applyNumberFormat="1" applyFont="1" applyBorder="1" applyAlignment="1">
      <alignment horizontal="center" vertical="center"/>
    </xf>
    <xf numFmtId="43" fontId="3" fillId="2" borderId="59" xfId="0" applyNumberFormat="1" applyFont="1" applyFill="1" applyBorder="1" applyAlignment="1">
      <alignment horizontal="center" vertical="center"/>
    </xf>
    <xf numFmtId="43" fontId="3" fillId="2" borderId="14" xfId="0" applyNumberFormat="1" applyFont="1" applyFill="1" applyBorder="1" applyAlignment="1">
      <alignment horizontal="center" vertical="center"/>
    </xf>
    <xf numFmtId="43" fontId="3" fillId="2" borderId="15" xfId="0" applyNumberFormat="1" applyFont="1" applyFill="1" applyBorder="1" applyAlignment="1">
      <alignment horizontal="center" vertical="center"/>
    </xf>
    <xf numFmtId="0" fontId="7" fillId="2" borderId="58"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7" fillId="2" borderId="57" xfId="0" applyFont="1" applyFill="1" applyBorder="1" applyAlignment="1">
      <alignment horizontal="justify" vertical="center" wrapText="1"/>
    </xf>
    <xf numFmtId="0" fontId="7" fillId="2" borderId="0" xfId="0" applyFont="1" applyFill="1" applyBorder="1" applyAlignment="1">
      <alignment horizontal="justify" vertical="center" wrapText="1"/>
    </xf>
    <xf numFmtId="0" fontId="7" fillId="2" borderId="3" xfId="0" applyFont="1" applyFill="1" applyBorder="1" applyAlignment="1">
      <alignment horizontal="justify" vertical="center" wrapText="1"/>
    </xf>
    <xf numFmtId="3" fontId="3" fillId="0" borderId="7"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4" xfId="0" applyNumberFormat="1" applyFont="1" applyBorder="1" applyAlignment="1">
      <alignment horizontal="center" vertical="center"/>
    </xf>
    <xf numFmtId="1" fontId="3" fillId="2"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4" fontId="3" fillId="0" borderId="9"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0" fontId="7" fillId="0" borderId="9" xfId="4" applyNumberFormat="1" applyFont="1" applyFill="1" applyBorder="1" applyAlignment="1">
      <alignment horizontal="center" vertical="center" wrapText="1"/>
    </xf>
    <xf numFmtId="0" fontId="7" fillId="0" borderId="14" xfId="4" applyNumberFormat="1" applyFont="1" applyFill="1" applyBorder="1" applyAlignment="1">
      <alignment horizontal="center" vertical="center" wrapText="1"/>
    </xf>
    <xf numFmtId="0" fontId="7" fillId="0" borderId="15" xfId="4" applyNumberFormat="1" applyFont="1" applyFill="1" applyBorder="1" applyAlignment="1">
      <alignment horizontal="center" vertical="center" wrapText="1"/>
    </xf>
    <xf numFmtId="0" fontId="7" fillId="0" borderId="8" xfId="4" applyNumberFormat="1" applyFont="1" applyFill="1" applyBorder="1" applyAlignment="1">
      <alignment horizontal="center" vertical="center" wrapText="1"/>
    </xf>
    <xf numFmtId="0" fontId="7" fillId="0" borderId="13" xfId="4" applyNumberFormat="1" applyFont="1" applyFill="1" applyBorder="1" applyAlignment="1">
      <alignment horizontal="center" vertical="center" wrapText="1"/>
    </xf>
    <xf numFmtId="0" fontId="7" fillId="0" borderId="6" xfId="4" applyNumberFormat="1" applyFont="1" applyFill="1" applyBorder="1" applyAlignment="1">
      <alignment horizontal="center" vertical="center" wrapText="1"/>
    </xf>
    <xf numFmtId="0" fontId="7" fillId="0" borderId="7"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7" fillId="2" borderId="2" xfId="0" applyFont="1" applyFill="1" applyBorder="1" applyAlignment="1">
      <alignment horizontal="center" vertical="center" wrapText="1"/>
    </xf>
    <xf numFmtId="3" fontId="3" fillId="0" borderId="36"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3" fillId="0" borderId="37"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3" fontId="18" fillId="0" borderId="17" xfId="6" applyNumberFormat="1" applyFont="1" applyFill="1" applyBorder="1" applyAlignment="1">
      <alignment horizontal="center" vertical="center"/>
    </xf>
    <xf numFmtId="14" fontId="3" fillId="0" borderId="17" xfId="0" applyNumberFormat="1" applyFont="1" applyFill="1" applyBorder="1" applyAlignment="1">
      <alignment horizontal="center" vertical="center" wrapText="1"/>
    </xf>
    <xf numFmtId="0" fontId="3" fillId="0" borderId="17" xfId="0" applyFont="1" applyFill="1" applyBorder="1" applyAlignment="1">
      <alignment horizontal="justify" vertical="center" wrapText="1"/>
    </xf>
    <xf numFmtId="9" fontId="3" fillId="0" borderId="38" xfId="3" applyNumberFormat="1" applyFont="1" applyFill="1" applyBorder="1" applyAlignment="1">
      <alignment horizontal="center" vertical="center"/>
    </xf>
    <xf numFmtId="9" fontId="3" fillId="0" borderId="26" xfId="3" applyNumberFormat="1" applyFont="1" applyFill="1" applyBorder="1" applyAlignment="1">
      <alignment horizontal="center" vertical="center"/>
    </xf>
    <xf numFmtId="9" fontId="3" fillId="0" borderId="24" xfId="3" applyNumberFormat="1" applyFont="1" applyFill="1" applyBorder="1" applyAlignment="1">
      <alignment horizontal="center" vertical="center"/>
    </xf>
    <xf numFmtId="43" fontId="3" fillId="0" borderId="17" xfId="0" applyNumberFormat="1" applyFont="1" applyFill="1" applyBorder="1" applyAlignment="1">
      <alignment horizontal="center" vertical="center"/>
    </xf>
    <xf numFmtId="0" fontId="7" fillId="0" borderId="4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8" xfId="0" applyFont="1" applyFill="1" applyBorder="1" applyAlignment="1">
      <alignment horizontal="justify" vertical="center" wrapText="1"/>
    </xf>
    <xf numFmtId="0" fontId="3"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5" xfId="0" applyFont="1" applyFill="1" applyBorder="1" applyAlignment="1">
      <alignment horizontal="justify" vertical="center" wrapText="1"/>
    </xf>
    <xf numFmtId="3" fontId="18" fillId="0" borderId="30" xfId="6" applyNumberFormat="1" applyFont="1" applyFill="1" applyBorder="1" applyAlignment="1">
      <alignment horizontal="center" vertical="center"/>
    </xf>
    <xf numFmtId="3" fontId="3" fillId="2" borderId="9"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14" fontId="3" fillId="2" borderId="14" xfId="0" applyNumberFormat="1" applyFont="1" applyFill="1" applyBorder="1" applyAlignment="1">
      <alignment horizontal="center" vertical="center" wrapText="1"/>
    </xf>
    <xf numFmtId="0" fontId="7" fillId="0" borderId="17" xfId="0" applyFont="1" applyFill="1" applyBorder="1" applyAlignment="1">
      <alignment horizontal="left" vertical="center" wrapText="1"/>
    </xf>
    <xf numFmtId="9" fontId="3" fillId="2" borderId="29" xfId="3" applyNumberFormat="1" applyFont="1" applyFill="1" applyBorder="1" applyAlignment="1">
      <alignment horizontal="center" vertical="center" wrapText="1"/>
    </xf>
    <xf numFmtId="9" fontId="3" fillId="2" borderId="39" xfId="3" applyNumberFormat="1" applyFont="1" applyFill="1" applyBorder="1" applyAlignment="1">
      <alignment horizontal="center" vertical="center" wrapText="1"/>
    </xf>
    <xf numFmtId="43" fontId="3" fillId="2" borderId="38"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0" borderId="23" xfId="0" applyFont="1" applyFill="1" applyBorder="1" applyAlignment="1">
      <alignment horizontal="justify" vertical="center" wrapText="1"/>
    </xf>
    <xf numFmtId="3" fontId="3" fillId="2" borderId="17" xfId="0" applyNumberFormat="1" applyFont="1" applyFill="1" applyBorder="1" applyAlignment="1">
      <alignment horizontal="justify" vertical="center" wrapText="1"/>
    </xf>
    <xf numFmtId="3" fontId="3" fillId="2" borderId="7"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7" fillId="0" borderId="39" xfId="0" applyFont="1" applyBorder="1" applyAlignment="1">
      <alignment horizontal="center" vertical="center"/>
    </xf>
    <xf numFmtId="0" fontId="7" fillId="0" borderId="23" xfId="0" applyFont="1" applyBorder="1" applyAlignment="1">
      <alignment horizontal="center" vertical="center"/>
    </xf>
    <xf numFmtId="165" fontId="2" fillId="3" borderId="9" xfId="0" applyNumberFormat="1" applyFont="1" applyFill="1" applyBorder="1" applyAlignment="1">
      <alignment horizontal="center" vertical="center" wrapText="1"/>
    </xf>
    <xf numFmtId="165" fontId="2" fillId="3" borderId="14"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29" xfId="0" applyFont="1" applyBorder="1" applyAlignment="1">
      <alignment horizontal="justify" vertical="center" wrapText="1"/>
    </xf>
    <xf numFmtId="9" fontId="3" fillId="0" borderId="42" xfId="3" applyFont="1" applyFill="1" applyBorder="1" applyAlignment="1">
      <alignment horizontal="center" vertical="center" wrapText="1"/>
    </xf>
    <xf numFmtId="9" fontId="3" fillId="0" borderId="18" xfId="3" applyFont="1" applyFill="1" applyBorder="1" applyAlignment="1">
      <alignment horizontal="center" vertical="center" wrapText="1"/>
    </xf>
    <xf numFmtId="180" fontId="7" fillId="0" borderId="7" xfId="6" applyNumberFormat="1" applyFont="1" applyBorder="1" applyAlignment="1">
      <alignment horizontal="center" vertical="center"/>
    </xf>
    <xf numFmtId="180" fontId="7" fillId="0" borderId="1" xfId="6" applyNumberFormat="1" applyFont="1" applyBorder="1" applyAlignment="1">
      <alignment horizontal="center" vertical="center"/>
    </xf>
    <xf numFmtId="3" fontId="3" fillId="0" borderId="9" xfId="0" applyNumberFormat="1" applyFont="1" applyBorder="1" applyAlignment="1">
      <alignment horizontal="justify" vertical="center" wrapText="1"/>
    </xf>
    <xf numFmtId="3" fontId="3" fillId="0" borderId="14" xfId="0" applyNumberFormat="1" applyFont="1" applyBorder="1" applyAlignment="1">
      <alignment horizontal="justify" vertical="center" wrapText="1"/>
    </xf>
    <xf numFmtId="0" fontId="3" fillId="0" borderId="15" xfId="0" applyFont="1" applyBorder="1" applyAlignment="1">
      <alignment horizontal="justify" vertical="center" wrapText="1"/>
    </xf>
    <xf numFmtId="3" fontId="3" fillId="2" borderId="15" xfId="0" applyNumberFormat="1" applyFont="1" applyFill="1" applyBorder="1" applyAlignment="1">
      <alignment horizontal="center" vertical="center" wrapText="1"/>
    </xf>
    <xf numFmtId="4" fontId="7" fillId="0" borderId="9" xfId="0" applyNumberFormat="1" applyFont="1" applyFill="1" applyBorder="1" applyAlignment="1">
      <alignment horizontal="right" vertical="center"/>
    </xf>
    <xf numFmtId="4" fontId="7" fillId="0" borderId="15" xfId="0" applyNumberFormat="1"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19" xfId="5" applyNumberFormat="1" applyFont="1" applyFill="1" applyBorder="1">
      <alignment horizontal="center" vertical="center" wrapText="1"/>
    </xf>
    <xf numFmtId="0" fontId="7" fillId="0" borderId="26" xfId="5" applyNumberFormat="1" applyFont="1" applyFill="1" applyBorder="1">
      <alignment horizontal="center" vertical="center" wrapText="1"/>
    </xf>
    <xf numFmtId="0" fontId="7" fillId="0" borderId="24" xfId="5" applyNumberFormat="1" applyFont="1" applyFill="1" applyBorder="1">
      <alignment horizontal="center" vertical="center" wrapText="1"/>
    </xf>
    <xf numFmtId="0" fontId="3" fillId="0" borderId="26" xfId="0" applyFont="1" applyBorder="1" applyAlignment="1">
      <alignment horizontal="justify" vertical="center" wrapText="1"/>
    </xf>
    <xf numFmtId="1" fontId="3" fillId="2" borderId="15" xfId="0" applyNumberFormat="1" applyFont="1" applyFill="1" applyBorder="1" applyAlignment="1">
      <alignment horizontal="justify" vertical="center" wrapText="1"/>
    </xf>
    <xf numFmtId="0" fontId="7" fillId="0" borderId="41" xfId="0" applyFont="1" applyBorder="1" applyAlignment="1">
      <alignment horizontal="center" vertical="center"/>
    </xf>
    <xf numFmtId="9" fontId="3" fillId="0" borderId="17" xfId="3" applyFont="1" applyFill="1" applyBorder="1" applyAlignment="1">
      <alignment horizontal="center" vertical="center" wrapText="1"/>
    </xf>
    <xf numFmtId="9" fontId="3" fillId="0" borderId="41" xfId="3" applyFont="1" applyFill="1" applyBorder="1" applyAlignment="1">
      <alignment horizontal="center" vertical="center" wrapText="1"/>
    </xf>
    <xf numFmtId="9" fontId="3" fillId="0" borderId="23" xfId="3" applyFont="1" applyFill="1" applyBorder="1" applyAlignment="1">
      <alignment horizontal="center" vertical="center" wrapText="1"/>
    </xf>
    <xf numFmtId="3" fontId="3" fillId="0" borderId="38" xfId="0" applyNumberFormat="1" applyFont="1" applyBorder="1" applyAlignment="1">
      <alignment horizontal="justify" vertical="center" wrapText="1"/>
    </xf>
    <xf numFmtId="3" fontId="3" fillId="0" borderId="26" xfId="0" applyNumberFormat="1" applyFont="1" applyBorder="1" applyAlignment="1">
      <alignment horizontal="justify" vertical="center" wrapText="1"/>
    </xf>
    <xf numFmtId="3" fontId="3" fillId="0" borderId="24" xfId="0" applyNumberFormat="1" applyFont="1" applyBorder="1" applyAlignment="1">
      <alignment horizontal="justify" vertical="center" wrapText="1"/>
    </xf>
    <xf numFmtId="0" fontId="7" fillId="0" borderId="39" xfId="5" applyNumberFormat="1" applyFont="1" applyFill="1" applyBorder="1">
      <alignment horizontal="center" vertical="center" wrapText="1"/>
    </xf>
    <xf numFmtId="0" fontId="7" fillId="0" borderId="41" xfId="5" applyNumberFormat="1" applyFont="1" applyFill="1" applyBorder="1">
      <alignment horizontal="center" vertical="center" wrapText="1"/>
    </xf>
    <xf numFmtId="0" fontId="7" fillId="0" borderId="38" xfId="5" applyNumberFormat="1" applyFont="1" applyFill="1" applyBorder="1">
      <alignment horizontal="center" vertical="center" wrapText="1"/>
    </xf>
    <xf numFmtId="9" fontId="3" fillId="0" borderId="38" xfId="3" applyFont="1" applyFill="1" applyBorder="1" applyAlignment="1">
      <alignment horizontal="center" vertical="center" wrapText="1"/>
    </xf>
    <xf numFmtId="9" fontId="3" fillId="0" borderId="26" xfId="3" applyFont="1" applyFill="1" applyBorder="1" applyAlignment="1">
      <alignment horizontal="center" vertical="center" wrapText="1"/>
    </xf>
    <xf numFmtId="9" fontId="3" fillId="0" borderId="24" xfId="3" applyFont="1" applyFill="1" applyBorder="1" applyAlignment="1">
      <alignment horizontal="center" vertical="center" wrapText="1"/>
    </xf>
    <xf numFmtId="168" fontId="3" fillId="2" borderId="2" xfId="0" applyNumberFormat="1" applyFont="1" applyFill="1" applyBorder="1" applyAlignment="1">
      <alignment horizontal="center" vertical="center" wrapText="1"/>
    </xf>
    <xf numFmtId="0" fontId="7" fillId="0" borderId="18" xfId="0" applyFont="1" applyBorder="1" applyAlignment="1">
      <alignment horizontal="justify" vertical="center" wrapText="1"/>
    </xf>
    <xf numFmtId="0" fontId="7" fillId="0" borderId="38" xfId="0" applyFont="1" applyBorder="1" applyAlignment="1">
      <alignment horizontal="left" vertical="center" wrapText="1"/>
    </xf>
    <xf numFmtId="0" fontId="7" fillId="0" borderId="35" xfId="0" applyFont="1" applyBorder="1" applyAlignment="1">
      <alignment horizontal="left" vertical="center" wrapText="1"/>
    </xf>
    <xf numFmtId="3" fontId="3" fillId="0" borderId="9"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39" xfId="0" applyNumberFormat="1" applyFont="1" applyBorder="1" applyAlignment="1">
      <alignment horizontal="justify" vertical="center" wrapText="1"/>
    </xf>
    <xf numFmtId="3" fontId="3" fillId="0" borderId="41" xfId="0" applyNumberFormat="1" applyFont="1" applyBorder="1" applyAlignment="1">
      <alignment horizontal="justify" vertical="center" wrapText="1"/>
    </xf>
    <xf numFmtId="3" fontId="3" fillId="0" borderId="35" xfId="0" applyNumberFormat="1" applyFont="1" applyBorder="1" applyAlignment="1">
      <alignment horizontal="justify" vertical="center" wrapText="1"/>
    </xf>
    <xf numFmtId="3" fontId="3" fillId="0" borderId="2" xfId="0" applyNumberFormat="1" applyFont="1" applyBorder="1" applyAlignment="1">
      <alignment horizontal="center" vertical="center"/>
    </xf>
    <xf numFmtId="180" fontId="7" fillId="0" borderId="19" xfId="6" applyNumberFormat="1" applyFont="1" applyBorder="1" applyAlignment="1">
      <alignment horizontal="center" vertical="center"/>
    </xf>
    <xf numFmtId="0" fontId="3" fillId="0" borderId="19" xfId="0" applyFont="1" applyBorder="1" applyAlignment="1">
      <alignment horizontal="justify" vertical="center" wrapText="1"/>
    </xf>
    <xf numFmtId="3" fontId="3" fillId="0" borderId="19" xfId="0" applyNumberFormat="1" applyFont="1" applyBorder="1" applyAlignment="1">
      <alignment horizontal="justify" vertical="center" wrapText="1"/>
    </xf>
    <xf numFmtId="0" fontId="7" fillId="0" borderId="30" xfId="0" applyFont="1" applyBorder="1" applyAlignment="1">
      <alignment horizontal="justify" vertical="center" wrapText="1"/>
    </xf>
    <xf numFmtId="0" fontId="7" fillId="0" borderId="57" xfId="0" applyFont="1" applyBorder="1" applyAlignment="1">
      <alignment horizontal="justify" vertical="center" wrapText="1"/>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3" fontId="3" fillId="0" borderId="12"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7" fillId="0" borderId="29" xfId="0" applyFont="1" applyBorder="1" applyAlignment="1">
      <alignment horizontal="center" vertical="center"/>
    </xf>
    <xf numFmtId="0" fontId="7" fillId="0" borderId="24" xfId="0" applyFont="1" applyBorder="1" applyAlignment="1">
      <alignment horizontal="center" vertical="center"/>
    </xf>
    <xf numFmtId="0" fontId="3" fillId="0" borderId="29" xfId="0" applyFont="1" applyBorder="1" applyAlignment="1">
      <alignment horizontal="center" vertical="center" wrapText="1"/>
    </xf>
    <xf numFmtId="0" fontId="7" fillId="0" borderId="30" xfId="0" applyFont="1" applyBorder="1" applyAlignment="1">
      <alignment horizontal="center" vertical="center"/>
    </xf>
    <xf numFmtId="0" fontId="7" fillId="0" borderId="38"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14" fontId="3" fillId="2" borderId="9" xfId="0" applyNumberFormat="1" applyFont="1" applyFill="1" applyBorder="1" applyAlignment="1">
      <alignment horizontal="center" vertical="center"/>
    </xf>
    <xf numFmtId="14" fontId="3" fillId="2" borderId="14" xfId="0" applyNumberFormat="1" applyFont="1" applyFill="1" applyBorder="1" applyAlignment="1">
      <alignment horizontal="center" vertical="center"/>
    </xf>
    <xf numFmtId="14" fontId="3" fillId="2" borderId="15" xfId="0" applyNumberFormat="1" applyFont="1" applyFill="1" applyBorder="1" applyAlignment="1">
      <alignment horizontal="center" vertical="center"/>
    </xf>
    <xf numFmtId="0" fontId="3" fillId="2" borderId="9"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1" fontId="3" fillId="0" borderId="13" xfId="0" applyNumberFormat="1" applyFont="1" applyBorder="1" applyAlignment="1">
      <alignment horizontal="center"/>
    </xf>
    <xf numFmtId="1" fontId="3" fillId="0" borderId="0" xfId="0" applyNumberFormat="1" applyFont="1" applyBorder="1" applyAlignment="1">
      <alignment horizontal="center"/>
    </xf>
    <xf numFmtId="1" fontId="3" fillId="0" borderId="1" xfId="0" applyNumberFormat="1" applyFont="1" applyBorder="1" applyAlignment="1">
      <alignment horizontal="center"/>
    </xf>
    <xf numFmtId="0" fontId="5" fillId="2" borderId="0" xfId="0" applyFont="1" applyFill="1" applyAlignment="1">
      <alignment horizontal="center"/>
    </xf>
    <xf numFmtId="0" fontId="3" fillId="0" borderId="9" xfId="0" applyFont="1" applyFill="1" applyBorder="1" applyAlignment="1">
      <alignment horizontal="justify" vertical="center" wrapText="1"/>
    </xf>
    <xf numFmtId="0" fontId="3" fillId="0" borderId="15" xfId="0" applyFont="1" applyFill="1" applyBorder="1" applyAlignment="1">
      <alignment horizontal="center" vertical="center" wrapText="1"/>
    </xf>
    <xf numFmtId="43" fontId="3" fillId="0" borderId="9" xfId="1" applyFont="1" applyFill="1" applyBorder="1" applyAlignment="1">
      <alignment horizontal="center" vertical="center"/>
    </xf>
    <xf numFmtId="43" fontId="3" fillId="0" borderId="14" xfId="1" applyFont="1" applyFill="1" applyBorder="1" applyAlignment="1">
      <alignment horizontal="center" vertical="center"/>
    </xf>
    <xf numFmtId="43" fontId="3" fillId="0" borderId="15"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1" xfId="0" applyFont="1" applyFill="1" applyBorder="1" applyAlignment="1">
      <alignment horizontal="center"/>
    </xf>
    <xf numFmtId="0" fontId="3" fillId="0" borderId="4" xfId="0" applyFont="1" applyFill="1" applyBorder="1" applyAlignment="1">
      <alignment horizontal="center"/>
    </xf>
    <xf numFmtId="0" fontId="7" fillId="0" borderId="9" xfId="5" applyNumberFormat="1" applyFont="1" applyFill="1" applyBorder="1" applyAlignment="1">
      <alignment horizontal="center" vertical="center" wrapText="1"/>
    </xf>
    <xf numFmtId="0" fontId="7" fillId="0" borderId="14" xfId="5" applyNumberFormat="1" applyFont="1" applyFill="1" applyBorder="1" applyAlignment="1">
      <alignment horizontal="center" vertical="center" wrapText="1"/>
    </xf>
    <xf numFmtId="0" fontId="7" fillId="0" borderId="15" xfId="5" applyNumberFormat="1" applyFont="1" applyFill="1" applyBorder="1" applyAlignment="1">
      <alignment horizontal="center" vertical="center" wrapText="1"/>
    </xf>
    <xf numFmtId="9" fontId="3" fillId="2" borderId="9" xfId="3" applyNumberFormat="1" applyFont="1" applyFill="1" applyBorder="1" applyAlignment="1">
      <alignment horizontal="center" vertical="center"/>
    </xf>
    <xf numFmtId="9" fontId="3" fillId="2" borderId="15" xfId="3" applyNumberFormat="1" applyFont="1" applyFill="1" applyBorder="1" applyAlignment="1">
      <alignment horizontal="center" vertical="center"/>
    </xf>
    <xf numFmtId="43" fontId="3" fillId="2" borderId="9" xfId="1" applyFont="1" applyFill="1" applyBorder="1" applyAlignment="1">
      <alignment horizontal="center" vertical="center"/>
    </xf>
    <xf numFmtId="43" fontId="3" fillId="2" borderId="15" xfId="1" applyFont="1" applyFill="1" applyBorder="1" applyAlignment="1">
      <alignment horizontal="center" vertical="center"/>
    </xf>
    <xf numFmtId="0" fontId="3" fillId="0" borderId="59" xfId="0" applyFont="1" applyBorder="1" applyAlignment="1">
      <alignment horizontal="center" vertical="center"/>
    </xf>
    <xf numFmtId="0" fontId="3" fillId="0" borderId="15" xfId="0" applyFont="1" applyBorder="1" applyAlignment="1">
      <alignment horizontal="center" vertical="center"/>
    </xf>
    <xf numFmtId="14" fontId="3" fillId="2" borderId="59" xfId="0" applyNumberFormat="1" applyFont="1" applyFill="1" applyBorder="1" applyAlignment="1">
      <alignment horizontal="center" vertical="center"/>
    </xf>
    <xf numFmtId="0" fontId="3" fillId="2" borderId="59" xfId="0" applyNumberFormat="1" applyFont="1" applyFill="1" applyBorder="1" applyAlignment="1">
      <alignment horizontal="center" vertical="center" wrapText="1"/>
    </xf>
    <xf numFmtId="0" fontId="7" fillId="2" borderId="9" xfId="5" applyNumberFormat="1" applyFont="1" applyFill="1" applyBorder="1" applyAlignment="1">
      <alignment horizontal="center" vertical="center" wrapText="1"/>
    </xf>
    <xf numFmtId="0" fontId="7" fillId="2" borderId="15" xfId="5" applyNumberFormat="1" applyFont="1" applyFill="1" applyBorder="1" applyAlignment="1">
      <alignment horizontal="center" vertical="center" wrapText="1"/>
    </xf>
    <xf numFmtId="43" fontId="3" fillId="2" borderId="14" xfId="1" applyFont="1" applyFill="1" applyBorder="1" applyAlignment="1">
      <alignment horizontal="center" vertical="center"/>
    </xf>
    <xf numFmtId="0" fontId="3" fillId="2" borderId="26" xfId="0" applyNumberFormat="1" applyFont="1" applyFill="1" applyBorder="1" applyAlignment="1">
      <alignment horizontal="center" vertical="center" wrapText="1"/>
    </xf>
    <xf numFmtId="0" fontId="3" fillId="2" borderId="24" xfId="0" applyNumberFormat="1" applyFont="1" applyFill="1" applyBorder="1" applyAlignment="1">
      <alignment horizontal="center" vertical="center" wrapText="1"/>
    </xf>
    <xf numFmtId="9" fontId="3" fillId="2" borderId="14" xfId="3" applyNumberFormat="1" applyFont="1" applyFill="1" applyBorder="1" applyAlignment="1">
      <alignment horizontal="center" vertical="center"/>
    </xf>
    <xf numFmtId="1" fontId="3" fillId="2" borderId="38" xfId="0" applyNumberFormat="1" applyFont="1" applyFill="1" applyBorder="1" applyAlignment="1">
      <alignment horizontal="center" vertical="center"/>
    </xf>
    <xf numFmtId="1" fontId="3" fillId="2" borderId="24" xfId="0" applyNumberFormat="1" applyFont="1" applyFill="1" applyBorder="1" applyAlignment="1">
      <alignment horizontal="center" vertical="center"/>
    </xf>
    <xf numFmtId="14" fontId="3" fillId="2" borderId="38" xfId="0" applyNumberFormat="1" applyFont="1" applyFill="1" applyBorder="1" applyAlignment="1">
      <alignment horizontal="center" vertical="center"/>
    </xf>
    <xf numFmtId="14" fontId="3" fillId="2" borderId="24"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0" borderId="2" xfId="0" applyFont="1" applyFill="1" applyBorder="1" applyAlignment="1">
      <alignment horizontal="justify" vertical="center" wrapText="1"/>
    </xf>
    <xf numFmtId="0" fontId="3" fillId="2" borderId="2" xfId="0" applyFont="1" applyFill="1" applyBorder="1" applyAlignment="1">
      <alignment horizontal="center" vertical="center"/>
    </xf>
    <xf numFmtId="9" fontId="3" fillId="2" borderId="30" xfId="3" applyFont="1" applyFill="1" applyBorder="1" applyAlignment="1">
      <alignment horizontal="center" vertical="center"/>
    </xf>
    <xf numFmtId="9" fontId="3" fillId="2" borderId="42" xfId="3" applyFont="1" applyFill="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Border="1" applyAlignment="1">
      <alignment horizontal="center" vertical="center"/>
    </xf>
    <xf numFmtId="14" fontId="3" fillId="2" borderId="34" xfId="0" applyNumberFormat="1" applyFont="1" applyFill="1" applyBorder="1" applyAlignment="1">
      <alignment horizontal="center" vertical="center"/>
    </xf>
    <xf numFmtId="14" fontId="3" fillId="2" borderId="41" xfId="0" applyNumberFormat="1" applyFont="1" applyFill="1" applyBorder="1" applyAlignment="1">
      <alignment horizontal="center" vertical="center"/>
    </xf>
    <xf numFmtId="14" fontId="3" fillId="2" borderId="23" xfId="0" applyNumberFormat="1" applyFont="1" applyFill="1" applyBorder="1" applyAlignment="1">
      <alignment horizontal="center" vertical="center"/>
    </xf>
    <xf numFmtId="43" fontId="3" fillId="2" borderId="38" xfId="1" applyFont="1" applyFill="1" applyBorder="1" applyAlignment="1">
      <alignment horizontal="center" vertical="center"/>
    </xf>
    <xf numFmtId="43" fontId="3" fillId="2" borderId="26" xfId="1" applyFont="1" applyFill="1" applyBorder="1" applyAlignment="1">
      <alignment horizontal="center" vertical="center"/>
    </xf>
    <xf numFmtId="0" fontId="7" fillId="0" borderId="36" xfId="0" applyFont="1" applyFill="1" applyBorder="1" applyAlignment="1">
      <alignment horizontal="justify" vertical="center" wrapText="1"/>
    </xf>
    <xf numFmtId="0" fontId="7" fillId="0" borderId="27" xfId="0" applyFont="1" applyFill="1" applyBorder="1" applyAlignment="1">
      <alignment horizontal="justify" vertical="center" wrapText="1"/>
    </xf>
    <xf numFmtId="0" fontId="7" fillId="0" borderId="37" xfId="0" applyFont="1" applyFill="1" applyBorder="1" applyAlignment="1">
      <alignment horizontal="justify" vertical="center" wrapText="1"/>
    </xf>
    <xf numFmtId="9" fontId="3" fillId="2" borderId="17" xfId="3" applyNumberFormat="1" applyFont="1" applyFill="1" applyBorder="1" applyAlignment="1">
      <alignment horizontal="center" vertical="center"/>
    </xf>
    <xf numFmtId="43" fontId="3" fillId="2" borderId="17" xfId="1" applyFont="1" applyFill="1" applyBorder="1" applyAlignment="1">
      <alignment horizontal="center" vertical="center"/>
    </xf>
    <xf numFmtId="0" fontId="3" fillId="2" borderId="36" xfId="0" applyFont="1" applyFill="1" applyBorder="1" applyAlignment="1">
      <alignment horizontal="justify" vertical="center" wrapText="1"/>
    </xf>
    <xf numFmtId="0" fontId="3" fillId="2" borderId="37" xfId="0" applyFont="1" applyFill="1" applyBorder="1" applyAlignment="1">
      <alignment horizontal="justify" vertical="center" wrapText="1"/>
    </xf>
    <xf numFmtId="0" fontId="3" fillId="2" borderId="22" xfId="0" applyFont="1" applyFill="1" applyBorder="1" applyAlignment="1">
      <alignment horizontal="justify" vertical="center" wrapText="1"/>
    </xf>
    <xf numFmtId="0" fontId="3" fillId="2" borderId="31" xfId="0" applyFont="1" applyFill="1" applyBorder="1" applyAlignment="1">
      <alignment horizontal="justify" vertical="center" wrapText="1"/>
    </xf>
    <xf numFmtId="0" fontId="7" fillId="2" borderId="51" xfId="5" applyNumberFormat="1" applyFont="1" applyFill="1" applyBorder="1" applyAlignment="1">
      <alignment horizontal="center" vertical="center" wrapText="1"/>
    </xf>
    <xf numFmtId="0" fontId="7" fillId="2" borderId="2" xfId="5"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8"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2" borderId="58"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9" fontId="3" fillId="2" borderId="7" xfId="3" applyFont="1" applyFill="1" applyBorder="1" applyAlignment="1">
      <alignment horizontal="center" vertical="center"/>
    </xf>
    <xf numFmtId="9" fontId="3" fillId="2" borderId="1" xfId="3" applyFont="1" applyFill="1" applyBorder="1" applyAlignment="1">
      <alignment horizontal="center" vertical="center"/>
    </xf>
    <xf numFmtId="14" fontId="3" fillId="2" borderId="36" xfId="0" applyNumberFormat="1" applyFont="1" applyFill="1" applyBorder="1" applyAlignment="1">
      <alignment horizontal="center" vertical="center"/>
    </xf>
    <xf numFmtId="14" fontId="3" fillId="2" borderId="27" xfId="0" applyNumberFormat="1" applyFont="1" applyFill="1" applyBorder="1" applyAlignment="1">
      <alignment horizontal="center" vertical="center"/>
    </xf>
    <xf numFmtId="14" fontId="3" fillId="2" borderId="37" xfId="0" applyNumberFormat="1" applyFont="1" applyFill="1" applyBorder="1" applyAlignment="1">
      <alignment horizontal="center" vertical="center"/>
    </xf>
    <xf numFmtId="0" fontId="3" fillId="2" borderId="36" xfId="0" applyNumberFormat="1" applyFont="1" applyFill="1" applyBorder="1" applyAlignment="1">
      <alignment horizontal="center" vertical="center" wrapText="1"/>
    </xf>
    <xf numFmtId="0" fontId="3" fillId="2" borderId="27"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1" fontId="3" fillId="0" borderId="13" xfId="0" applyNumberFormat="1" applyFont="1" applyFill="1" applyBorder="1" applyAlignment="1">
      <alignment horizontal="center"/>
    </xf>
    <xf numFmtId="1" fontId="3" fillId="0" borderId="0" xfId="0" applyNumberFormat="1" applyFont="1" applyFill="1" applyBorder="1" applyAlignment="1">
      <alignment horizont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7" fillId="2" borderId="57" xfId="5" applyNumberFormat="1" applyFont="1" applyFill="1" applyBorder="1" applyAlignment="1">
      <alignment horizontal="center" vertical="center" wrapText="1"/>
    </xf>
    <xf numFmtId="1" fontId="3" fillId="0" borderId="8" xfId="0" applyNumberFormat="1" applyFont="1" applyBorder="1" applyAlignment="1">
      <alignment horizontal="center"/>
    </xf>
    <xf numFmtId="1" fontId="3" fillId="0" borderId="5" xfId="0" applyNumberFormat="1" applyFont="1" applyBorder="1" applyAlignment="1">
      <alignment horizontal="center"/>
    </xf>
    <xf numFmtId="1" fontId="3" fillId="0" borderId="7" xfId="0" applyNumberFormat="1" applyFont="1" applyBorder="1" applyAlignment="1">
      <alignment horizontal="center"/>
    </xf>
    <xf numFmtId="0" fontId="7" fillId="2" borderId="7" xfId="5" applyNumberFormat="1" applyFont="1" applyFill="1" applyBorder="1" applyAlignment="1">
      <alignment horizontal="center" vertical="center" wrapText="1"/>
    </xf>
    <xf numFmtId="0" fontId="7" fillId="2" borderId="4" xfId="5" applyNumberFormat="1" applyFont="1" applyFill="1" applyBorder="1" applyAlignment="1">
      <alignment horizontal="center" vertical="center" wrapText="1"/>
    </xf>
    <xf numFmtId="1" fontId="3" fillId="0" borderId="38" xfId="0" applyNumberFormat="1" applyFont="1" applyBorder="1" applyAlignment="1">
      <alignment horizontal="center" vertical="center"/>
    </xf>
    <xf numFmtId="1" fontId="3" fillId="0" borderId="26" xfId="0" applyNumberFormat="1" applyFont="1" applyBorder="1" applyAlignment="1">
      <alignment horizontal="center" vertical="center"/>
    </xf>
    <xf numFmtId="1" fontId="3" fillId="0" borderId="24" xfId="0" applyNumberFormat="1" applyFont="1" applyBorder="1" applyAlignment="1">
      <alignment horizontal="center" vertical="center"/>
    </xf>
    <xf numFmtId="14" fontId="3" fillId="2" borderId="26" xfId="0" applyNumberFormat="1" applyFont="1" applyFill="1" applyBorder="1" applyAlignment="1">
      <alignment horizontal="center" vertical="center"/>
    </xf>
    <xf numFmtId="43" fontId="3" fillId="0" borderId="9" xfId="1" applyFont="1" applyBorder="1" applyAlignment="1">
      <alignment horizontal="center" vertical="center"/>
    </xf>
    <xf numFmtId="43" fontId="3" fillId="0" borderId="14" xfId="1" applyFont="1" applyBorder="1" applyAlignment="1">
      <alignment horizontal="center" vertical="center"/>
    </xf>
    <xf numFmtId="43" fontId="3" fillId="0" borderId="4" xfId="1" applyFont="1" applyBorder="1" applyAlignment="1">
      <alignment horizontal="center" vertical="center"/>
    </xf>
    <xf numFmtId="0" fontId="3" fillId="2" borderId="8"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0" borderId="3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 fillId="2" borderId="38"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23"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25" xfId="0" applyFont="1" applyBorder="1" applyAlignment="1">
      <alignment horizontal="center" vertical="center"/>
    </xf>
    <xf numFmtId="0" fontId="7" fillId="2" borderId="17" xfId="5"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7" fillId="2" borderId="8" xfId="5" applyNumberFormat="1" applyFont="1" applyFill="1" applyBorder="1" applyAlignment="1">
      <alignment horizontal="center" vertical="center" wrapText="1"/>
    </xf>
    <xf numFmtId="0" fontId="7" fillId="2" borderId="6" xfId="5" applyNumberFormat="1" applyFont="1" applyFill="1" applyBorder="1" applyAlignment="1">
      <alignment horizontal="center" vertical="center" wrapText="1"/>
    </xf>
    <xf numFmtId="0" fontId="7" fillId="0" borderId="29" xfId="5"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6" borderId="14" xfId="0" applyFont="1" applyFill="1" applyBorder="1" applyAlignment="1">
      <alignment horizontal="left" vertical="center" wrapText="1"/>
    </xf>
    <xf numFmtId="0" fontId="6" fillId="6" borderId="15"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43" fontId="3" fillId="2" borderId="2" xfId="1" applyFont="1" applyFill="1" applyBorder="1" applyAlignment="1">
      <alignment horizontal="center" vertical="center"/>
    </xf>
    <xf numFmtId="1" fontId="3" fillId="2" borderId="17" xfId="0" applyNumberFormat="1" applyFont="1" applyFill="1" applyBorder="1" applyAlignment="1">
      <alignment horizontal="center" vertical="center"/>
    </xf>
    <xf numFmtId="14" fontId="3" fillId="2" borderId="17"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wrapText="1"/>
    </xf>
    <xf numFmtId="43" fontId="3" fillId="0" borderId="17" xfId="1" applyFont="1" applyFill="1" applyBorder="1" applyAlignment="1">
      <alignment horizontal="center" vertical="center"/>
    </xf>
    <xf numFmtId="1" fontId="3" fillId="2" borderId="5"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7" fillId="2" borderId="14" xfId="5" applyNumberFormat="1" applyFont="1" applyFill="1" applyBorder="1" applyAlignment="1">
      <alignment horizontal="center" vertical="center" wrapText="1"/>
    </xf>
    <xf numFmtId="0" fontId="7" fillId="0" borderId="8" xfId="5" applyNumberFormat="1" applyFont="1" applyFill="1" applyBorder="1" applyAlignment="1">
      <alignment horizontal="center" vertical="center" wrapText="1"/>
    </xf>
    <xf numFmtId="0" fontId="7" fillId="0" borderId="13" xfId="5" applyNumberFormat="1" applyFont="1" applyFill="1" applyBorder="1" applyAlignment="1">
      <alignment horizontal="center" vertical="center" wrapText="1"/>
    </xf>
    <xf numFmtId="0" fontId="7" fillId="0" borderId="6" xfId="5"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33" xfId="0" applyFont="1" applyFill="1" applyBorder="1" applyAlignment="1">
      <alignment horizontal="center" vertical="center"/>
    </xf>
    <xf numFmtId="1" fontId="3" fillId="2" borderId="4"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1" fontId="3" fillId="2" borderId="36" xfId="0" applyNumberFormat="1" applyFont="1" applyFill="1" applyBorder="1" applyAlignment="1">
      <alignment horizontal="center" vertical="center"/>
    </xf>
    <xf numFmtId="1" fontId="3" fillId="2" borderId="37" xfId="0" applyNumberFormat="1" applyFont="1" applyFill="1" applyBorder="1" applyAlignment="1">
      <alignment horizontal="center" vertical="center"/>
    </xf>
    <xf numFmtId="0" fontId="3" fillId="2" borderId="7" xfId="0" applyFont="1" applyFill="1" applyBorder="1" applyAlignment="1">
      <alignment horizontal="justify" vertical="center" wrapText="1"/>
    </xf>
    <xf numFmtId="0" fontId="3" fillId="2" borderId="1" xfId="0" applyFont="1" applyFill="1" applyBorder="1" applyAlignment="1">
      <alignment horizontal="justify" vertical="center" wrapText="1"/>
    </xf>
    <xf numFmtId="43" fontId="7" fillId="2" borderId="2" xfId="1" applyFont="1" applyFill="1" applyBorder="1" applyAlignment="1">
      <alignment horizontal="center" vertical="center" wrapText="1"/>
    </xf>
    <xf numFmtId="0" fontId="3" fillId="2" borderId="4" xfId="0" applyFont="1" applyFill="1" applyBorder="1" applyAlignment="1">
      <alignment horizontal="justify" vertical="center" wrapText="1"/>
    </xf>
    <xf numFmtId="43" fontId="7" fillId="0" borderId="2" xfId="1" applyFont="1" applyFill="1" applyBorder="1" applyAlignment="1">
      <alignment horizontal="center" vertical="center" wrapText="1"/>
    </xf>
    <xf numFmtId="0" fontId="7" fillId="2" borderId="38" xfId="5" applyNumberFormat="1" applyFont="1" applyFill="1" applyBorder="1" applyAlignment="1">
      <alignment horizontal="center" vertical="center" wrapText="1"/>
    </xf>
    <xf numFmtId="0" fontId="3" fillId="2" borderId="20" xfId="0" applyFont="1" applyFill="1" applyBorder="1" applyAlignment="1">
      <alignment horizontal="center" vertical="center"/>
    </xf>
    <xf numFmtId="9" fontId="3" fillId="2" borderId="17" xfId="3" applyFont="1" applyFill="1" applyBorder="1" applyAlignment="1">
      <alignment horizontal="center" vertical="center"/>
    </xf>
    <xf numFmtId="9" fontId="3" fillId="2" borderId="38" xfId="3" applyFont="1" applyFill="1" applyBorder="1" applyAlignment="1">
      <alignment horizontal="center" vertical="center"/>
    </xf>
    <xf numFmtId="0" fontId="3" fillId="2" borderId="17" xfId="0" applyFont="1" applyFill="1" applyBorder="1" applyAlignment="1">
      <alignment horizontal="center" vertical="center"/>
    </xf>
    <xf numFmtId="43" fontId="7" fillId="0" borderId="17" xfId="1" applyFont="1" applyFill="1" applyBorder="1" applyAlignment="1">
      <alignment horizontal="center" vertical="center" wrapText="1"/>
    </xf>
    <xf numFmtId="43" fontId="7" fillId="0" borderId="38" xfId="1" applyFont="1" applyFill="1" applyBorder="1" applyAlignment="1">
      <alignment horizontal="center" vertical="center" wrapText="1"/>
    </xf>
    <xf numFmtId="0" fontId="7" fillId="2" borderId="30" xfId="5" applyNumberFormat="1" applyFont="1" applyFill="1" applyBorder="1" applyAlignment="1">
      <alignment horizontal="center" vertical="center" wrapText="1"/>
    </xf>
    <xf numFmtId="0" fontId="7" fillId="2" borderId="30" xfId="0" applyFont="1" applyFill="1" applyBorder="1" applyAlignment="1">
      <alignment horizontal="justify" vertical="center" wrapText="1"/>
    </xf>
    <xf numFmtId="0" fontId="7" fillId="2" borderId="42" xfId="0" applyFont="1" applyFill="1" applyBorder="1" applyAlignment="1">
      <alignment horizontal="justify" vertical="center" wrapText="1"/>
    </xf>
    <xf numFmtId="43" fontId="7" fillId="2" borderId="17" xfId="1" applyFont="1" applyFill="1" applyBorder="1" applyAlignment="1">
      <alignment horizontal="center" vertical="center" wrapText="1"/>
    </xf>
    <xf numFmtId="43" fontId="7" fillId="2" borderId="38" xfId="1" applyFont="1" applyFill="1" applyBorder="1" applyAlignment="1">
      <alignment horizontal="center" vertical="center" wrapText="1"/>
    </xf>
    <xf numFmtId="0" fontId="3" fillId="2" borderId="29" xfId="0" applyFont="1" applyFill="1" applyBorder="1" applyAlignment="1">
      <alignment horizontal="justify" vertical="center" wrapText="1"/>
    </xf>
    <xf numFmtId="0" fontId="3" fillId="2" borderId="39" xfId="0" applyFont="1" applyFill="1" applyBorder="1" applyAlignment="1">
      <alignment horizontal="justify" vertical="center" wrapText="1"/>
    </xf>
    <xf numFmtId="14" fontId="7" fillId="2" borderId="38" xfId="0" applyNumberFormat="1" applyFont="1" applyFill="1" applyBorder="1" applyAlignment="1">
      <alignment horizontal="center" vertical="center" wrapText="1"/>
    </xf>
    <xf numFmtId="14" fontId="7" fillId="2" borderId="26" xfId="0" applyNumberFormat="1" applyFont="1" applyFill="1" applyBorder="1" applyAlignment="1">
      <alignment horizontal="center" vertical="center" wrapText="1"/>
    </xf>
    <xf numFmtId="0" fontId="7" fillId="2" borderId="30" xfId="5" applyNumberFormat="1" applyFont="1" applyFill="1" applyBorder="1" applyAlignment="1">
      <alignment horizontal="center" vertical="center"/>
    </xf>
    <xf numFmtId="0" fontId="7" fillId="2" borderId="42" xfId="5" applyNumberFormat="1" applyFont="1" applyFill="1" applyBorder="1" applyAlignment="1">
      <alignment horizontal="center" vertical="center"/>
    </xf>
    <xf numFmtId="0" fontId="3" fillId="2" borderId="2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9" xfId="0" applyFont="1" applyFill="1" applyBorder="1" applyAlignment="1">
      <alignment horizontal="center" vertical="center"/>
    </xf>
    <xf numFmtId="0" fontId="7" fillId="2" borderId="38" xfId="0" applyFont="1" applyFill="1" applyBorder="1" applyAlignment="1">
      <alignment horizontal="center" vertical="center" wrapText="1"/>
    </xf>
    <xf numFmtId="1" fontId="7" fillId="0" borderId="38" xfId="0" applyNumberFormat="1" applyFont="1" applyBorder="1" applyAlignment="1">
      <alignment horizontal="center" vertical="center" wrapText="1"/>
    </xf>
    <xf numFmtId="1" fontId="7" fillId="0" borderId="26" xfId="0" applyNumberFormat="1" applyFont="1" applyBorder="1" applyAlignment="1">
      <alignment horizontal="center" vertical="center" wrapText="1"/>
    </xf>
    <xf numFmtId="0" fontId="3"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43" fontId="7" fillId="2" borderId="24" xfId="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7" fillId="2" borderId="56" xfId="5" applyNumberFormat="1" applyFont="1" applyFill="1" applyBorder="1" applyAlignment="1">
      <alignment horizontal="center" vertical="center" wrapText="1"/>
    </xf>
    <xf numFmtId="0" fontId="7" fillId="2" borderId="24" xfId="5" applyNumberFormat="1" applyFont="1" applyFill="1" applyBorder="1" applyAlignment="1">
      <alignment horizontal="center" vertical="center" wrapText="1"/>
    </xf>
    <xf numFmtId="0" fontId="7" fillId="0" borderId="25" xfId="0" applyFont="1" applyFill="1" applyBorder="1" applyAlignment="1">
      <alignment horizontal="justify" vertical="center" wrapText="1"/>
    </xf>
    <xf numFmtId="0" fontId="7" fillId="0" borderId="30" xfId="0" applyFont="1" applyFill="1" applyBorder="1" applyAlignment="1">
      <alignment horizontal="justify" vertical="center" wrapText="1"/>
    </xf>
    <xf numFmtId="167" fontId="5" fillId="3" borderId="8" xfId="0" applyNumberFormat="1" applyFont="1" applyFill="1" applyBorder="1" applyAlignment="1">
      <alignment horizontal="center" vertical="center" wrapText="1"/>
    </xf>
    <xf numFmtId="167" fontId="5" fillId="3" borderId="6"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3" fontId="24" fillId="4" borderId="10" xfId="0" applyNumberFormat="1" applyFont="1" applyFill="1" applyBorder="1" applyAlignment="1">
      <alignment horizontal="center" vertical="center" wrapText="1"/>
    </xf>
    <xf numFmtId="3" fontId="24" fillId="4" borderId="11" xfId="0" applyNumberFormat="1"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8" xfId="0" applyFont="1" applyFill="1" applyBorder="1" applyAlignment="1">
      <alignment horizontal="center" vertical="center" textRotation="90" wrapText="1"/>
    </xf>
    <xf numFmtId="0" fontId="24" fillId="4" borderId="13" xfId="0" applyFont="1" applyFill="1" applyBorder="1" applyAlignment="1">
      <alignment horizontal="center" vertical="center" textRotation="90" wrapText="1"/>
    </xf>
    <xf numFmtId="166"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1" fontId="5" fillId="3" borderId="15"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4" xfId="0" applyFont="1" applyFill="1" applyBorder="1" applyAlignment="1">
      <alignment horizontal="center" vertical="center" wrapText="1"/>
    </xf>
    <xf numFmtId="1" fontId="7" fillId="0" borderId="17" xfId="0" applyNumberFormat="1" applyFont="1" applyBorder="1" applyAlignment="1">
      <alignment horizontal="center" vertical="center"/>
    </xf>
    <xf numFmtId="0" fontId="5" fillId="3" borderId="2" xfId="0" applyFont="1" applyFill="1" applyBorder="1" applyAlignment="1">
      <alignment horizontal="justify" vertical="center" wrapText="1"/>
    </xf>
    <xf numFmtId="165" fontId="5" fillId="3" borderId="2" xfId="0" applyNumberFormat="1" applyFont="1" applyFill="1" applyBorder="1" applyAlignment="1">
      <alignment horizontal="center" vertical="center" wrapText="1"/>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1" fontId="5" fillId="3" borderId="2" xfId="0"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3" fontId="2" fillId="3" borderId="15" xfId="0" applyNumberFormat="1" applyFont="1" applyFill="1" applyBorder="1" applyAlignment="1">
      <alignment horizontal="center" vertical="center" wrapText="1"/>
    </xf>
    <xf numFmtId="3" fontId="7" fillId="0" borderId="9" xfId="7" applyNumberFormat="1" applyFont="1" applyFill="1" applyBorder="1" applyAlignment="1">
      <alignment horizontal="center" vertical="center" wrapText="1"/>
    </xf>
    <xf numFmtId="3" fontId="7" fillId="0" borderId="14" xfId="7" applyNumberFormat="1" applyFont="1" applyFill="1" applyBorder="1" applyAlignment="1">
      <alignment horizontal="center" vertical="center" wrapText="1"/>
    </xf>
    <xf numFmtId="3" fontId="7" fillId="0" borderId="15" xfId="7" applyNumberFormat="1" applyFont="1" applyFill="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2" fillId="3" borderId="9" xfId="0" applyFont="1" applyFill="1" applyBorder="1" applyAlignment="1">
      <alignment horizontal="justify" vertical="center" wrapText="1"/>
    </xf>
    <xf numFmtId="0" fontId="2" fillId="3" borderId="14" xfId="0" applyFont="1" applyFill="1" applyBorder="1" applyAlignment="1">
      <alignment horizontal="justify" vertical="center" wrapText="1"/>
    </xf>
    <xf numFmtId="3" fontId="6" fillId="4" borderId="6"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5" xfId="0" applyFont="1" applyFill="1" applyBorder="1" applyAlignment="1">
      <alignment horizontal="center" vertical="center"/>
    </xf>
    <xf numFmtId="0" fontId="7" fillId="0" borderId="22"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31" xfId="0" applyFont="1" applyBorder="1" applyAlignment="1">
      <alignment horizontal="justify" vertical="center" wrapText="1"/>
    </xf>
    <xf numFmtId="180" fontId="7" fillId="0" borderId="30" xfId="6" applyNumberFormat="1" applyFont="1" applyFill="1" applyBorder="1" applyAlignment="1">
      <alignment horizontal="center" vertical="center"/>
    </xf>
    <xf numFmtId="3" fontId="7" fillId="0" borderId="8" xfId="0" applyNumberFormat="1" applyFont="1" applyBorder="1" applyAlignment="1">
      <alignment horizontal="justify" vertical="center" wrapText="1"/>
    </xf>
    <xf numFmtId="3" fontId="7" fillId="0" borderId="7"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7" fillId="0" borderId="9"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0" fontId="7" fillId="0" borderId="5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9" xfId="0" applyFont="1" applyBorder="1" applyAlignment="1">
      <alignment horizontal="center" vertical="center" wrapText="1"/>
    </xf>
    <xf numFmtId="180" fontId="7" fillId="0" borderId="8" xfId="6" applyNumberFormat="1" applyFont="1" applyFill="1" applyBorder="1" applyAlignment="1">
      <alignment horizontal="center" vertical="center" wrapText="1"/>
    </xf>
    <xf numFmtId="180" fontId="7" fillId="0" borderId="6" xfId="6" applyNumberFormat="1" applyFont="1" applyFill="1" applyBorder="1" applyAlignment="1">
      <alignment horizontal="center" vertical="center" wrapText="1"/>
    </xf>
    <xf numFmtId="180" fontId="7" fillId="0" borderId="1" xfId="6" applyNumberFormat="1" applyFont="1" applyFill="1" applyBorder="1" applyAlignment="1">
      <alignment horizontal="center" vertical="center"/>
    </xf>
    <xf numFmtId="180" fontId="7" fillId="0" borderId="67" xfId="6" applyNumberFormat="1" applyFont="1" applyFill="1" applyBorder="1" applyAlignment="1">
      <alignment horizontal="center" vertical="center"/>
    </xf>
    <xf numFmtId="1" fontId="7" fillId="0" borderId="9" xfId="0" applyNumberFormat="1" applyFont="1" applyBorder="1" applyAlignment="1">
      <alignment horizontal="justify" vertical="center" wrapText="1"/>
    </xf>
    <xf numFmtId="1" fontId="7" fillId="0" borderId="14" xfId="0" applyNumberFormat="1" applyFont="1" applyBorder="1" applyAlignment="1">
      <alignment horizontal="justify" vertical="center" wrapText="1"/>
    </xf>
    <xf numFmtId="180" fontId="7" fillId="0" borderId="9" xfId="6" applyNumberFormat="1" applyFont="1" applyFill="1" applyBorder="1" applyAlignment="1">
      <alignment horizontal="center" vertical="center" wrapText="1"/>
    </xf>
    <xf numFmtId="180" fontId="7" fillId="0" borderId="15" xfId="6" applyNumberFormat="1" applyFont="1" applyFill="1" applyBorder="1" applyAlignment="1">
      <alignment horizontal="center" vertical="center" wrapText="1"/>
    </xf>
    <xf numFmtId="3" fontId="7" fillId="0" borderId="9" xfId="0" applyNumberFormat="1" applyFont="1" applyBorder="1" applyAlignment="1">
      <alignment horizontal="center" vertical="center"/>
    </xf>
    <xf numFmtId="3" fontId="7" fillId="0" borderId="14" xfId="0" applyNumberFormat="1" applyFont="1" applyBorder="1" applyAlignment="1">
      <alignment horizontal="center" vertical="center"/>
    </xf>
    <xf numFmtId="167" fontId="7" fillId="0" borderId="2" xfId="0" applyNumberFormat="1" applyFont="1" applyBorder="1" applyAlignment="1">
      <alignment horizontal="center" vertical="center"/>
    </xf>
    <xf numFmtId="3" fontId="7" fillId="0" borderId="15"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0" fontId="7" fillId="0" borderId="6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9" xfId="0" applyFont="1" applyFill="1" applyBorder="1" applyAlignment="1">
      <alignment horizontal="center" vertical="center" wrapText="1"/>
    </xf>
    <xf numFmtId="3" fontId="7" fillId="0" borderId="7"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0" borderId="4" xfId="0" applyNumberFormat="1" applyFont="1" applyBorder="1" applyAlignment="1">
      <alignment horizontal="center" vertical="center"/>
    </xf>
    <xf numFmtId="3" fontId="7" fillId="0" borderId="15" xfId="0" applyNumberFormat="1" applyFont="1" applyBorder="1" applyAlignment="1">
      <alignment horizontal="center" vertical="center"/>
    </xf>
    <xf numFmtId="9" fontId="7" fillId="0" borderId="24" xfId="3" applyFont="1" applyFill="1" applyBorder="1" applyAlignment="1">
      <alignment horizontal="center" vertical="center"/>
    </xf>
    <xf numFmtId="9" fontId="7" fillId="0" borderId="17" xfId="3" applyFont="1" applyFill="1" applyBorder="1" applyAlignment="1">
      <alignment horizontal="center" vertical="center"/>
    </xf>
    <xf numFmtId="168" fontId="7" fillId="0" borderId="9" xfId="0" applyNumberFormat="1" applyFont="1" applyBorder="1" applyAlignment="1">
      <alignment horizontal="center" vertical="center" wrapText="1"/>
    </xf>
    <xf numFmtId="168" fontId="7" fillId="0" borderId="14" xfId="0" applyNumberFormat="1" applyFont="1" applyBorder="1" applyAlignment="1">
      <alignment horizontal="center" vertical="center" wrapText="1"/>
    </xf>
    <xf numFmtId="168" fontId="7" fillId="0" borderId="15" xfId="0" applyNumberFormat="1" applyFont="1" applyBorder="1" applyAlignment="1">
      <alignment horizontal="center" vertical="center" wrapText="1"/>
    </xf>
    <xf numFmtId="0" fontId="7" fillId="0" borderId="39" xfId="0" applyFont="1" applyBorder="1" applyAlignment="1">
      <alignment horizontal="center" vertical="center" wrapText="1"/>
    </xf>
    <xf numFmtId="0" fontId="7" fillId="0" borderId="24" xfId="16" applyNumberFormat="1" applyFont="1" applyFill="1" applyBorder="1" applyAlignment="1">
      <alignment horizontal="justify" vertical="center" wrapText="1"/>
    </xf>
    <xf numFmtId="0" fontId="7" fillId="0" borderId="17" xfId="16" applyNumberFormat="1" applyFont="1" applyFill="1" applyBorder="1" applyAlignment="1">
      <alignment horizontal="justify" vertical="center" wrapText="1"/>
    </xf>
    <xf numFmtId="0" fontId="7" fillId="0" borderId="38" xfId="16" applyNumberFormat="1" applyFont="1" applyFill="1" applyBorder="1" applyAlignment="1">
      <alignment horizontal="justify" vertical="center" wrapText="1"/>
    </xf>
    <xf numFmtId="0" fontId="7" fillId="0" borderId="56" xfId="0" applyFont="1" applyBorder="1" applyAlignment="1">
      <alignment horizontal="justify" vertical="center" wrapText="1"/>
    </xf>
    <xf numFmtId="0" fontId="7" fillId="0" borderId="51" xfId="0" applyFont="1" applyBorder="1" applyAlignment="1">
      <alignment horizontal="justify" vertical="center" wrapText="1"/>
    </xf>
    <xf numFmtId="180" fontId="7" fillId="0" borderId="17" xfId="6" applyNumberFormat="1" applyFont="1" applyFill="1" applyBorder="1" applyAlignment="1">
      <alignment horizontal="center" vertical="center"/>
    </xf>
    <xf numFmtId="3" fontId="7" fillId="0" borderId="36" xfId="0" applyNumberFormat="1" applyFont="1" applyBorder="1" applyAlignment="1">
      <alignment horizontal="center" vertical="center"/>
    </xf>
    <xf numFmtId="3" fontId="7" fillId="0" borderId="27" xfId="0" applyNumberFormat="1" applyFont="1" applyBorder="1" applyAlignment="1">
      <alignment horizontal="center" vertical="center"/>
    </xf>
    <xf numFmtId="3" fontId="7" fillId="0" borderId="37" xfId="0" applyNumberFormat="1" applyFont="1" applyBorder="1" applyAlignment="1">
      <alignment horizontal="center" vertical="center"/>
    </xf>
    <xf numFmtId="180" fontId="7" fillId="0" borderId="14" xfId="6" applyNumberFormat="1" applyFont="1" applyFill="1" applyBorder="1" applyAlignment="1">
      <alignment horizontal="center" vertical="center"/>
    </xf>
    <xf numFmtId="180" fontId="7" fillId="0" borderId="15" xfId="6" applyNumberFormat="1" applyFont="1" applyFill="1" applyBorder="1" applyAlignment="1">
      <alignment horizontal="center" vertical="center"/>
    </xf>
    <xf numFmtId="49" fontId="7" fillId="0" borderId="38"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4" xfId="0" applyNumberFormat="1" applyFont="1" applyBorder="1" applyAlignment="1">
      <alignment horizontal="center" vertical="center"/>
    </xf>
    <xf numFmtId="3" fontId="7" fillId="0" borderId="33" xfId="0" applyNumberFormat="1" applyFont="1" applyBorder="1" applyAlignment="1">
      <alignment horizontal="center" vertical="center"/>
    </xf>
    <xf numFmtId="180" fontId="7" fillId="0" borderId="7" xfId="6" applyNumberFormat="1" applyFont="1" applyFill="1" applyBorder="1" applyAlignment="1">
      <alignment horizontal="center" vertical="center"/>
    </xf>
    <xf numFmtId="0" fontId="7" fillId="0" borderId="33" xfId="0" applyFont="1" applyBorder="1" applyAlignment="1">
      <alignment horizontal="justify" vertical="center" wrapText="1"/>
    </xf>
    <xf numFmtId="0" fontId="7" fillId="0" borderId="73" xfId="0" applyFont="1" applyBorder="1" applyAlignment="1">
      <alignment horizontal="justify" vertical="center" wrapText="1"/>
    </xf>
    <xf numFmtId="0" fontId="7" fillId="0" borderId="24" xfId="0" applyFont="1" applyFill="1" applyBorder="1" applyAlignment="1">
      <alignment horizontal="justify" vertical="center" wrapText="1"/>
    </xf>
    <xf numFmtId="180" fontId="7" fillId="0" borderId="38" xfId="6" applyNumberFormat="1" applyFont="1" applyFill="1" applyBorder="1" applyAlignment="1">
      <alignment horizontal="justify" vertical="center" wrapText="1"/>
    </xf>
    <xf numFmtId="180" fontId="7" fillId="0" borderId="24" xfId="6" applyNumberFormat="1" applyFont="1" applyFill="1" applyBorder="1" applyAlignment="1">
      <alignment horizontal="justify" vertical="center" wrapText="1"/>
    </xf>
    <xf numFmtId="167" fontId="7" fillId="0" borderId="33" xfId="0" applyNumberFormat="1" applyFont="1" applyBorder="1" applyAlignment="1">
      <alignment horizontal="center" vertical="center"/>
    </xf>
    <xf numFmtId="3" fontId="7" fillId="0" borderId="67" xfId="0" applyNumberFormat="1" applyFont="1" applyBorder="1" applyAlignment="1">
      <alignment horizontal="center" vertical="center"/>
    </xf>
    <xf numFmtId="0" fontId="3" fillId="0" borderId="38" xfId="0" applyFont="1" applyFill="1" applyBorder="1" applyAlignment="1">
      <alignment horizontal="center" vertical="center" wrapText="1"/>
    </xf>
    <xf numFmtId="0" fontId="3" fillId="0" borderId="24" xfId="0" applyFont="1" applyFill="1" applyBorder="1" applyAlignment="1">
      <alignment horizontal="center" vertical="center" wrapText="1"/>
    </xf>
    <xf numFmtId="9" fontId="7" fillId="0" borderId="38" xfId="3" applyFont="1" applyFill="1" applyBorder="1" applyAlignment="1">
      <alignment horizontal="center" vertical="center"/>
    </xf>
    <xf numFmtId="3" fontId="7" fillId="0" borderId="59" xfId="0" applyNumberFormat="1" applyFont="1" applyBorder="1" applyAlignment="1">
      <alignment horizontal="center" vertical="center"/>
    </xf>
    <xf numFmtId="3" fontId="7" fillId="0" borderId="60" xfId="0" applyNumberFormat="1" applyFont="1" applyBorder="1" applyAlignment="1">
      <alignment horizontal="center" vertical="center"/>
    </xf>
    <xf numFmtId="3" fontId="7" fillId="0" borderId="32" xfId="0" applyNumberFormat="1" applyFont="1" applyBorder="1" applyAlignment="1">
      <alignment horizontal="center" vertical="center"/>
    </xf>
    <xf numFmtId="0" fontId="7" fillId="0" borderId="72" xfId="0" applyFont="1" applyBorder="1" applyAlignment="1">
      <alignment horizontal="justify" vertical="center" wrapText="1"/>
    </xf>
    <xf numFmtId="0" fontId="7" fillId="0" borderId="70" xfId="0" applyFont="1" applyBorder="1" applyAlignment="1">
      <alignment horizontal="justify" vertical="center" wrapText="1"/>
    </xf>
    <xf numFmtId="0" fontId="7" fillId="0" borderId="37" xfId="0" applyFont="1" applyBorder="1" applyAlignment="1">
      <alignment horizontal="center" vertical="center"/>
    </xf>
    <xf numFmtId="168" fontId="7" fillId="0" borderId="17" xfId="0" applyNumberFormat="1" applyFont="1" applyBorder="1" applyAlignment="1">
      <alignment horizontal="center" vertical="center" wrapText="1"/>
    </xf>
    <xf numFmtId="168" fontId="7" fillId="0" borderId="38" xfId="0" applyNumberFormat="1" applyFont="1" applyBorder="1" applyAlignment="1">
      <alignment horizontal="center" vertical="center" wrapText="1"/>
    </xf>
    <xf numFmtId="0" fontId="7" fillId="0" borderId="67" xfId="0" applyFont="1" applyBorder="1" applyAlignment="1">
      <alignment horizontal="center" vertical="center" wrapText="1"/>
    </xf>
    <xf numFmtId="180" fontId="7" fillId="0" borderId="38" xfId="6" applyNumberFormat="1" applyFont="1" applyFill="1" applyBorder="1" applyAlignment="1">
      <alignment horizontal="center" vertical="center"/>
    </xf>
    <xf numFmtId="180" fontId="7" fillId="0" borderId="24" xfId="6" applyNumberFormat="1" applyFont="1" applyFill="1" applyBorder="1" applyAlignment="1">
      <alignment horizontal="center" vertical="center"/>
    </xf>
    <xf numFmtId="0" fontId="7" fillId="0" borderId="60" xfId="0" applyFont="1" applyBorder="1" applyAlignment="1">
      <alignment horizontal="justify" vertical="center" wrapText="1"/>
    </xf>
    <xf numFmtId="0" fontId="7" fillId="0" borderId="32" xfId="0" applyFont="1" applyBorder="1" applyAlignment="1">
      <alignment horizontal="justify" vertical="center" wrapText="1"/>
    </xf>
    <xf numFmtId="43" fontId="7" fillId="0" borderId="24" xfId="16" applyFont="1" applyFill="1" applyBorder="1" applyAlignment="1">
      <alignment horizontal="center" vertical="center"/>
    </xf>
    <xf numFmtId="43" fontId="7" fillId="0" borderId="38" xfId="16" applyFont="1" applyFill="1" applyBorder="1" applyAlignment="1">
      <alignment horizontal="center" vertical="center"/>
    </xf>
    <xf numFmtId="168" fontId="7" fillId="0" borderId="24"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180" fontId="7" fillId="0" borderId="9" xfId="6" applyNumberFormat="1" applyFont="1" applyFill="1" applyBorder="1" applyAlignment="1" applyProtection="1">
      <alignment horizontal="center" vertical="center"/>
      <protection locked="0"/>
    </xf>
    <xf numFmtId="180" fontId="7" fillId="0" borderId="33" xfId="6" applyNumberFormat="1" applyFont="1" applyFill="1" applyBorder="1" applyAlignment="1" applyProtection="1">
      <alignment horizontal="center" vertical="center"/>
      <protection locked="0"/>
    </xf>
    <xf numFmtId="1" fontId="7" fillId="0" borderId="13" xfId="0" applyNumberFormat="1" applyFont="1" applyBorder="1" applyAlignment="1">
      <alignment horizontal="center" vertical="center"/>
    </xf>
    <xf numFmtId="1" fontId="7" fillId="0" borderId="24"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3" fontId="7" fillId="0" borderId="2" xfId="0" applyNumberFormat="1" applyFont="1" applyBorder="1" applyAlignment="1">
      <alignment horizontal="center" vertical="center"/>
    </xf>
    <xf numFmtId="0" fontId="7" fillId="0" borderId="56" xfId="0" applyFont="1" applyBorder="1" applyAlignment="1">
      <alignment horizontal="center" vertical="center" wrapText="1"/>
    </xf>
    <xf numFmtId="0" fontId="7" fillId="0" borderId="51" xfId="0" applyFont="1" applyBorder="1" applyAlignment="1">
      <alignment horizontal="center" vertical="center" wrapText="1"/>
    </xf>
    <xf numFmtId="180" fontId="7" fillId="0" borderId="2" xfId="6" applyNumberFormat="1" applyFont="1" applyFill="1" applyBorder="1" applyAlignment="1">
      <alignment horizontal="center" vertical="center"/>
    </xf>
    <xf numFmtId="3" fontId="7" fillId="0" borderId="8" xfId="0" applyNumberFormat="1" applyFont="1" applyBorder="1" applyAlignment="1">
      <alignment horizontal="center" vertical="center"/>
    </xf>
    <xf numFmtId="3" fontId="7" fillId="0" borderId="6" xfId="0" applyNumberFormat="1" applyFont="1" applyBorder="1" applyAlignment="1">
      <alignment horizontal="center" vertical="center"/>
    </xf>
    <xf numFmtId="0" fontId="7" fillId="0" borderId="57" xfId="0" applyFont="1" applyBorder="1" applyAlignment="1">
      <alignment horizontal="center" vertical="center"/>
    </xf>
    <xf numFmtId="0" fontId="7" fillId="0" borderId="0" xfId="0" applyFont="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6" xfId="0" applyFont="1" applyBorder="1" applyAlignment="1">
      <alignment horizontal="center"/>
    </xf>
    <xf numFmtId="0" fontId="7" fillId="0" borderId="18" xfId="0" applyFont="1" applyBorder="1" applyAlignment="1">
      <alignment horizontal="center"/>
    </xf>
    <xf numFmtId="0" fontId="7" fillId="0" borderId="25" xfId="0" applyFont="1" applyBorder="1" applyAlignment="1">
      <alignment horizontal="center"/>
    </xf>
    <xf numFmtId="180" fontId="7" fillId="0" borderId="29" xfId="6" applyNumberFormat="1" applyFont="1" applyFill="1" applyBorder="1" applyAlignment="1">
      <alignment horizontal="center" vertical="center"/>
    </xf>
    <xf numFmtId="0" fontId="16" fillId="2" borderId="2" xfId="18" applyFont="1" applyFill="1" applyBorder="1" applyAlignment="1">
      <alignment horizontal="justify" vertical="center" wrapText="1"/>
    </xf>
    <xf numFmtId="1" fontId="3" fillId="0" borderId="0" xfId="0" applyNumberFormat="1" applyFont="1" applyAlignment="1">
      <alignment horizontal="center"/>
    </xf>
    <xf numFmtId="14" fontId="3" fillId="2" borderId="15" xfId="0" applyNumberFormat="1" applyFont="1" applyFill="1" applyBorder="1" applyAlignment="1">
      <alignment horizontal="center" vertical="center" wrapText="1"/>
    </xf>
    <xf numFmtId="9" fontId="3" fillId="2" borderId="5" xfId="3" applyFont="1" applyFill="1" applyBorder="1" applyAlignment="1">
      <alignment horizontal="center" vertical="center" wrapText="1"/>
    </xf>
    <xf numFmtId="9" fontId="3" fillId="2" borderId="0" xfId="3" applyFont="1" applyFill="1" applyBorder="1" applyAlignment="1">
      <alignment horizontal="center" vertical="center" wrapText="1"/>
    </xf>
    <xf numFmtId="9" fontId="3" fillId="2" borderId="3" xfId="3" applyFont="1" applyFill="1" applyBorder="1" applyAlignment="1">
      <alignment horizontal="center" vertical="center" wrapText="1"/>
    </xf>
    <xf numFmtId="43" fontId="7" fillId="0" borderId="17" xfId="0" applyNumberFormat="1" applyFont="1" applyBorder="1" applyAlignment="1">
      <alignment horizontal="center" vertical="center" wrapText="1"/>
    </xf>
    <xf numFmtId="3" fontId="3" fillId="2" borderId="9" xfId="0" applyNumberFormat="1" applyFont="1" applyFill="1" applyBorder="1" applyAlignment="1">
      <alignment horizontal="justify" vertical="center" wrapText="1"/>
    </xf>
    <xf numFmtId="3" fontId="3" fillId="2" borderId="14" xfId="0" applyNumberFormat="1" applyFont="1" applyFill="1" applyBorder="1" applyAlignment="1">
      <alignment horizontal="justify" vertical="center" wrapText="1"/>
    </xf>
    <xf numFmtId="3" fontId="3" fillId="2" borderId="15" xfId="0" applyNumberFormat="1" applyFont="1" applyFill="1" applyBorder="1" applyAlignment="1">
      <alignment horizontal="justify" vertical="center" wrapText="1"/>
    </xf>
    <xf numFmtId="0" fontId="16" fillId="0" borderId="2" xfId="0" applyFont="1" applyBorder="1" applyAlignment="1">
      <alignment horizontal="left" vertical="center" wrapText="1"/>
    </xf>
    <xf numFmtId="0" fontId="16" fillId="0" borderId="3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9" fontId="7" fillId="0" borderId="7"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43" fontId="7" fillId="0" borderId="9" xfId="0" applyNumberFormat="1" applyFont="1" applyBorder="1" applyAlignment="1">
      <alignment horizontal="center" vertical="center" wrapText="1"/>
    </xf>
    <xf numFmtId="43" fontId="7" fillId="0" borderId="14" xfId="0" applyNumberFormat="1" applyFont="1" applyBorder="1" applyAlignment="1">
      <alignment horizontal="center" vertical="center" wrapText="1"/>
    </xf>
    <xf numFmtId="1" fontId="6" fillId="3" borderId="9"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165" fontId="6" fillId="3" borderId="8" xfId="0" applyNumberFormat="1" applyFont="1" applyFill="1" applyBorder="1" applyAlignment="1">
      <alignment horizontal="center" vertical="center" wrapText="1"/>
    </xf>
    <xf numFmtId="165" fontId="6" fillId="3" borderId="13" xfId="0" applyNumberFormat="1" applyFont="1" applyFill="1" applyBorder="1" applyAlignment="1">
      <alignment horizontal="center" vertical="center" wrapText="1"/>
    </xf>
    <xf numFmtId="43" fontId="6" fillId="3" borderId="8" xfId="16" applyFont="1" applyFill="1" applyBorder="1" applyAlignment="1">
      <alignment horizontal="center" vertical="center" wrapText="1"/>
    </xf>
    <xf numFmtId="43" fontId="6" fillId="3" borderId="13" xfId="16"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166" fontId="6" fillId="3" borderId="8" xfId="0" applyNumberFormat="1" applyFont="1" applyFill="1" applyBorder="1" applyAlignment="1">
      <alignment horizontal="center" vertical="center" wrapText="1"/>
    </xf>
    <xf numFmtId="166" fontId="6" fillId="3" borderId="13" xfId="0" applyNumberFormat="1" applyFont="1" applyFill="1" applyBorder="1" applyAlignment="1">
      <alignment horizontal="center" vertical="center" wrapText="1"/>
    </xf>
    <xf numFmtId="1" fontId="6" fillId="3" borderId="76" xfId="0" applyNumberFormat="1" applyFont="1" applyFill="1" applyBorder="1" applyAlignment="1">
      <alignment horizontal="center" vertical="center" wrapText="1"/>
    </xf>
    <xf numFmtId="1" fontId="6" fillId="3" borderId="77" xfId="0" applyNumberFormat="1" applyFont="1" applyFill="1" applyBorder="1" applyAlignment="1">
      <alignment horizontal="center" vertical="center" wrapText="1"/>
    </xf>
    <xf numFmtId="167" fontId="6" fillId="3" borderId="13" xfId="0" applyNumberFormat="1" applyFont="1" applyFill="1" applyBorder="1" applyAlignment="1">
      <alignment horizontal="center" vertical="center" wrapText="1"/>
    </xf>
    <xf numFmtId="3" fontId="6" fillId="3" borderId="54" xfId="0" applyNumberFormat="1" applyFont="1" applyFill="1" applyBorder="1" applyAlignment="1">
      <alignment horizontal="center" vertical="center" wrapText="1"/>
    </xf>
    <xf numFmtId="3" fontId="6" fillId="3" borderId="74" xfId="0" applyNumberFormat="1" applyFont="1" applyFill="1" applyBorder="1" applyAlignment="1">
      <alignment horizontal="center" vertical="center" wrapText="1"/>
    </xf>
    <xf numFmtId="0" fontId="21" fillId="0" borderId="0" xfId="0" applyFont="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4" borderId="14" xfId="0" applyFont="1" applyFill="1" applyBorder="1" applyAlignment="1">
      <alignment horizontal="center" vertical="center" textRotation="90" wrapText="1"/>
    </xf>
    <xf numFmtId="167" fontId="2" fillId="3" borderId="9" xfId="0" applyNumberFormat="1" applyFont="1" applyFill="1" applyBorder="1" applyAlignment="1">
      <alignment horizontal="center" vertical="center" wrapText="1"/>
    </xf>
    <xf numFmtId="167" fontId="2" fillId="3" borderId="14" xfId="0" applyNumberFormat="1" applyFont="1" applyFill="1" applyBorder="1" applyAlignment="1">
      <alignment horizontal="center" vertical="center" wrapText="1"/>
    </xf>
    <xf numFmtId="3" fontId="2" fillId="3" borderId="8" xfId="0" applyNumberFormat="1" applyFont="1" applyFill="1" applyBorder="1" applyAlignment="1">
      <alignment horizontal="center" vertical="center" wrapText="1"/>
    </xf>
    <xf numFmtId="3" fontId="2" fillId="3" borderId="13"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166" fontId="2" fillId="3" borderId="5" xfId="0" applyNumberFormat="1" applyFont="1" applyFill="1" applyBorder="1" applyAlignment="1">
      <alignment horizontal="center" vertical="center" wrapText="1"/>
    </xf>
    <xf numFmtId="166" fontId="2" fillId="3" borderId="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3" fillId="0" borderId="38"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3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2" xfId="0" applyFont="1" applyFill="1" applyBorder="1" applyAlignment="1">
      <alignment horizontal="center" vertical="center" wrapText="1"/>
    </xf>
    <xf numFmtId="9" fontId="2" fillId="3" borderId="8" xfId="3" applyFont="1" applyFill="1" applyBorder="1" applyAlignment="1">
      <alignment horizontal="center" vertical="center" wrapText="1"/>
    </xf>
    <xf numFmtId="0" fontId="2" fillId="3" borderId="8" xfId="0" applyFont="1" applyFill="1" applyBorder="1" applyAlignment="1">
      <alignment horizontal="justify" vertical="center" wrapText="1"/>
    </xf>
    <xf numFmtId="174" fontId="3" fillId="0" borderId="9" xfId="12" applyNumberFormat="1" applyFont="1" applyFill="1" applyBorder="1" applyAlignment="1">
      <alignment horizontal="center" vertical="center"/>
    </xf>
    <xf numFmtId="0" fontId="3" fillId="0" borderId="7" xfId="0" applyFont="1" applyFill="1" applyBorder="1" applyAlignment="1">
      <alignment horizontal="center" vertical="center" wrapText="1"/>
    </xf>
    <xf numFmtId="175" fontId="7" fillId="0" borderId="8" xfId="8" applyFont="1" applyFill="1" applyBorder="1" applyAlignment="1">
      <alignment horizontal="justify" vertical="center" wrapText="1"/>
    </xf>
    <xf numFmtId="173" fontId="7" fillId="0" borderId="17" xfId="7" applyFont="1" applyFill="1" applyBorder="1" applyAlignment="1">
      <alignment horizontal="center" vertical="center" wrapText="1"/>
    </xf>
    <xf numFmtId="175" fontId="7" fillId="0" borderId="7" xfId="8" applyFont="1" applyFill="1" applyBorder="1" applyAlignment="1">
      <alignment horizontal="justify" vertical="center" wrapText="1"/>
    </xf>
    <xf numFmtId="168" fontId="3" fillId="0" borderId="9" xfId="0" applyNumberFormat="1" applyFont="1" applyFill="1" applyBorder="1" applyAlignment="1">
      <alignment horizontal="center" vertical="center" wrapText="1"/>
    </xf>
    <xf numFmtId="168" fontId="3" fillId="0" borderId="14" xfId="0" applyNumberFormat="1" applyFont="1" applyFill="1" applyBorder="1" applyAlignment="1">
      <alignment horizontal="center" vertical="center" wrapText="1"/>
    </xf>
    <xf numFmtId="168" fontId="3" fillId="0" borderId="15" xfId="0" applyNumberFormat="1" applyFont="1" applyFill="1" applyBorder="1" applyAlignment="1">
      <alignment horizontal="center" vertical="center" wrapText="1"/>
    </xf>
    <xf numFmtId="175" fontId="7" fillId="0" borderId="9" xfId="8" applyFont="1" applyFill="1" applyBorder="1" applyAlignment="1">
      <alignment horizontal="center" vertical="center" wrapText="1"/>
    </xf>
    <xf numFmtId="175" fontId="7" fillId="0" borderId="14" xfId="8" applyFont="1" applyFill="1" applyBorder="1" applyAlignment="1">
      <alignment horizontal="center" vertical="center" wrapText="1"/>
    </xf>
    <xf numFmtId="175" fontId="7" fillId="0" borderId="15" xfId="8" applyFont="1" applyFill="1" applyBorder="1" applyAlignment="1">
      <alignment horizontal="center" vertical="center" wrapText="1"/>
    </xf>
    <xf numFmtId="0" fontId="18" fillId="0" borderId="17" xfId="0" applyFont="1" applyFill="1" applyBorder="1" applyAlignment="1">
      <alignment horizontal="justify" vertical="center" wrapText="1"/>
    </xf>
    <xf numFmtId="0" fontId="18" fillId="0" borderId="13"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3" fillId="0" borderId="60" xfId="0" applyFont="1" applyFill="1" applyBorder="1" applyAlignment="1">
      <alignment horizontal="center" vertical="center" wrapText="1"/>
    </xf>
    <xf numFmtId="3" fontId="3" fillId="0" borderId="9" xfId="0" applyNumberFormat="1" applyFont="1" applyFill="1" applyBorder="1" applyAlignment="1">
      <alignment horizontal="justify" vertical="center" wrapText="1"/>
    </xf>
    <xf numFmtId="3" fontId="3" fillId="0" borderId="8" xfId="0" applyNumberFormat="1" applyFont="1" applyFill="1" applyBorder="1" applyAlignment="1">
      <alignment horizontal="justify" vertical="center" wrapText="1"/>
    </xf>
    <xf numFmtId="174" fontId="3" fillId="0" borderId="7" xfId="12"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7" fillId="0" borderId="17" xfId="0" applyNumberFormat="1" applyFont="1" applyFill="1" applyBorder="1" applyAlignment="1">
      <alignment horizontal="center" vertical="center" wrapText="1"/>
    </xf>
    <xf numFmtId="173" fontId="7" fillId="0" borderId="17" xfId="7" applyNumberFormat="1" applyFont="1" applyFill="1" applyBorder="1" applyAlignment="1">
      <alignment horizontal="right" vertical="center" wrapText="1"/>
    </xf>
    <xf numFmtId="0" fontId="3" fillId="0" borderId="29" xfId="0" applyFont="1" applyFill="1" applyBorder="1" applyAlignment="1">
      <alignment horizontal="justify" vertical="center" wrapText="1"/>
    </xf>
    <xf numFmtId="173" fontId="7" fillId="0" borderId="14" xfId="7" applyNumberFormat="1" applyFont="1" applyBorder="1" applyAlignment="1">
      <alignment vertical="center" wrapText="1"/>
    </xf>
    <xf numFmtId="0" fontId="7" fillId="0" borderId="29" xfId="0" applyFont="1" applyFill="1" applyBorder="1" applyAlignment="1">
      <alignment horizontal="center" vertical="center" wrapText="1"/>
    </xf>
    <xf numFmtId="14" fontId="7" fillId="0" borderId="9" xfId="0" applyNumberFormat="1" applyFont="1" applyBorder="1" applyAlignment="1">
      <alignment horizontal="center" vertical="center" wrapText="1"/>
    </xf>
    <xf numFmtId="14" fontId="7" fillId="0" borderId="14" xfId="0" applyNumberFormat="1" applyFont="1" applyBorder="1" applyAlignment="1">
      <alignment horizontal="center" vertical="center" wrapText="1"/>
    </xf>
    <xf numFmtId="0" fontId="7" fillId="0" borderId="57" xfId="0" applyFont="1" applyBorder="1" applyAlignment="1">
      <alignment horizontal="center" vertical="center" wrapText="1"/>
    </xf>
    <xf numFmtId="0" fontId="7" fillId="0" borderId="39" xfId="0" applyFont="1" applyFill="1" applyBorder="1" applyAlignment="1">
      <alignment horizontal="center" vertical="center" wrapText="1"/>
    </xf>
    <xf numFmtId="0" fontId="3" fillId="2" borderId="39" xfId="0" applyFont="1" applyFill="1" applyBorder="1" applyAlignment="1">
      <alignment horizontal="center" vertical="center" wrapText="1"/>
    </xf>
    <xf numFmtId="173" fontId="7" fillId="0" borderId="29" xfId="7" applyNumberFormat="1" applyFont="1" applyBorder="1" applyAlignment="1">
      <alignment vertical="center" wrapText="1"/>
    </xf>
    <xf numFmtId="173" fontId="7" fillId="0" borderId="39" xfId="7" applyNumberFormat="1" applyFont="1" applyBorder="1" applyAlignment="1">
      <alignment vertical="center" wrapText="1"/>
    </xf>
    <xf numFmtId="173" fontId="7" fillId="0" borderId="17" xfId="7" applyNumberFormat="1" applyFont="1" applyFill="1" applyBorder="1" applyAlignment="1">
      <alignment vertical="center" wrapText="1"/>
    </xf>
    <xf numFmtId="173" fontId="7" fillId="0" borderId="38" xfId="7" applyNumberFormat="1" applyFont="1" applyFill="1" applyBorder="1" applyAlignment="1">
      <alignment vertical="center" wrapText="1"/>
    </xf>
    <xf numFmtId="14" fontId="7" fillId="0" borderId="38" xfId="0" applyNumberFormat="1" applyFont="1" applyBorder="1" applyAlignment="1">
      <alignment horizontal="center" vertical="center" wrapText="1"/>
    </xf>
    <xf numFmtId="14" fontId="7" fillId="0" borderId="26" xfId="0" applyNumberFormat="1" applyFont="1" applyBorder="1" applyAlignment="1">
      <alignment horizontal="center" vertical="center" wrapText="1"/>
    </xf>
    <xf numFmtId="14" fontId="7" fillId="0" borderId="24" xfId="0" applyNumberFormat="1" applyFont="1" applyBorder="1" applyAlignment="1">
      <alignment horizontal="center" vertical="center" wrapText="1"/>
    </xf>
    <xf numFmtId="14" fontId="7" fillId="0" borderId="17" xfId="0" applyNumberFormat="1" applyFont="1" applyBorder="1" applyAlignment="1">
      <alignment horizontal="center" vertical="center" wrapText="1"/>
    </xf>
    <xf numFmtId="0" fontId="7"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173" fontId="7" fillId="0" borderId="17" xfId="7" applyNumberFormat="1" applyFont="1" applyBorder="1" applyAlignment="1">
      <alignment vertical="center" wrapText="1"/>
    </xf>
    <xf numFmtId="174" fontId="3" fillId="0" borderId="59" xfId="12" applyNumberFormat="1" applyFont="1" applyFill="1" applyBorder="1" applyAlignment="1">
      <alignment horizontal="center" vertical="center"/>
    </xf>
    <xf numFmtId="174" fontId="3" fillId="0" borderId="14" xfId="12" applyNumberFormat="1" applyFont="1" applyFill="1" applyBorder="1" applyAlignment="1">
      <alignment horizontal="center" vertical="center"/>
    </xf>
    <xf numFmtId="174" fontId="3" fillId="0" borderId="15" xfId="12" applyNumberFormat="1" applyFont="1" applyFill="1" applyBorder="1" applyAlignment="1">
      <alignment horizontal="center" vertical="center"/>
    </xf>
    <xf numFmtId="0" fontId="7" fillId="0" borderId="59"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wrapText="1"/>
      <protection locked="0"/>
    </xf>
    <xf numFmtId="9" fontId="3" fillId="0" borderId="59" xfId="3" applyFont="1" applyFill="1" applyBorder="1" applyAlignment="1">
      <alignment horizontal="center" vertical="center"/>
    </xf>
    <xf numFmtId="9" fontId="3" fillId="0" borderId="14" xfId="3" applyFont="1" applyFill="1" applyBorder="1" applyAlignment="1">
      <alignment horizontal="center" vertical="center"/>
    </xf>
    <xf numFmtId="9" fontId="3" fillId="0" borderId="15" xfId="3" applyFont="1" applyFill="1" applyBorder="1" applyAlignment="1">
      <alignment horizontal="center" vertical="center"/>
    </xf>
    <xf numFmtId="173" fontId="7" fillId="0" borderId="59" xfId="7" applyFont="1" applyFill="1" applyBorder="1" applyAlignment="1">
      <alignment vertical="center" wrapText="1"/>
    </xf>
    <xf numFmtId="173" fontId="7" fillId="0" borderId="14" xfId="7" applyFont="1" applyFill="1" applyBorder="1" applyAlignment="1">
      <alignment vertical="center" wrapText="1"/>
    </xf>
    <xf numFmtId="173" fontId="7" fillId="0" borderId="15" xfId="7" applyFont="1" applyFill="1" applyBorder="1" applyAlignment="1">
      <alignment vertical="center" wrapText="1"/>
    </xf>
    <xf numFmtId="14" fontId="3" fillId="0" borderId="60" xfId="12" applyNumberFormat="1" applyFont="1" applyFill="1" applyBorder="1" applyAlignment="1">
      <alignment horizontal="center" vertical="center"/>
    </xf>
    <xf numFmtId="14" fontId="3" fillId="0" borderId="27" xfId="12" applyNumberFormat="1" applyFont="1" applyFill="1" applyBorder="1" applyAlignment="1">
      <alignment horizontal="center" vertical="center"/>
    </xf>
    <xf numFmtId="14" fontId="3" fillId="0" borderId="37" xfId="12" applyNumberFormat="1" applyFont="1" applyFill="1" applyBorder="1" applyAlignment="1">
      <alignment horizontal="center" vertical="center"/>
    </xf>
    <xf numFmtId="0" fontId="3" fillId="0" borderId="0" xfId="0" applyFont="1" applyAlignment="1">
      <alignment horizontal="center"/>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59" xfId="0" applyFont="1" applyFill="1" applyBorder="1" applyAlignment="1">
      <alignment horizontal="center" vertical="center"/>
    </xf>
    <xf numFmtId="174" fontId="3" fillId="0" borderId="59" xfId="0" applyNumberFormat="1" applyFont="1" applyFill="1" applyBorder="1" applyAlignment="1">
      <alignment horizontal="center" vertical="center"/>
    </xf>
    <xf numFmtId="174" fontId="3" fillId="0" borderId="14" xfId="0" applyNumberFormat="1" applyFont="1" applyFill="1" applyBorder="1" applyAlignment="1">
      <alignment horizontal="center" vertical="center"/>
    </xf>
    <xf numFmtId="174" fontId="3" fillId="0" borderId="15" xfId="0" applyNumberFormat="1" applyFont="1" applyFill="1" applyBorder="1" applyAlignment="1">
      <alignment horizontal="center" vertical="center"/>
    </xf>
    <xf numFmtId="14" fontId="7" fillId="0" borderId="59" xfId="0" applyNumberFormat="1" applyFont="1" applyFill="1" applyBorder="1" applyAlignment="1" applyProtection="1">
      <alignment horizontal="center" vertical="center" wrapText="1"/>
      <protection locked="0"/>
    </xf>
    <xf numFmtId="14" fontId="7" fillId="0" borderId="14" xfId="0" applyNumberFormat="1" applyFont="1" applyFill="1" applyBorder="1" applyAlignment="1" applyProtection="1">
      <alignment horizontal="center" vertical="center" wrapText="1"/>
      <protection locked="0"/>
    </xf>
    <xf numFmtId="14" fontId="7" fillId="0" borderId="15" xfId="0" applyNumberFormat="1" applyFont="1" applyFill="1" applyBorder="1" applyAlignment="1" applyProtection="1">
      <alignment horizontal="center" vertical="center" wrapText="1"/>
      <protection locked="0"/>
    </xf>
    <xf numFmtId="174" fontId="3" fillId="0" borderId="60" xfId="12" applyNumberFormat="1" applyFont="1" applyFill="1" applyBorder="1" applyAlignment="1">
      <alignment horizontal="center" vertical="center"/>
    </xf>
    <xf numFmtId="174" fontId="3" fillId="0" borderId="27" xfId="12" applyNumberFormat="1" applyFont="1" applyFill="1" applyBorder="1" applyAlignment="1">
      <alignment horizontal="center" vertical="center"/>
    </xf>
    <xf numFmtId="174" fontId="3" fillId="0" borderId="2" xfId="12" applyNumberFormat="1" applyFont="1" applyFill="1" applyBorder="1" applyAlignment="1">
      <alignment horizontal="center" vertical="center"/>
    </xf>
    <xf numFmtId="0" fontId="7" fillId="0" borderId="2" xfId="0" applyFont="1" applyFill="1" applyBorder="1" applyAlignment="1" applyProtection="1">
      <alignment horizontal="justify" vertical="center" wrapText="1"/>
      <protection locked="0"/>
    </xf>
    <xf numFmtId="9" fontId="3" fillId="0" borderId="2" xfId="3" applyFont="1" applyFill="1" applyBorder="1" applyAlignment="1">
      <alignment horizontal="center" vertical="center"/>
    </xf>
    <xf numFmtId="173" fontId="7" fillId="0" borderId="2" xfId="7" applyFont="1" applyFill="1" applyBorder="1" applyAlignment="1">
      <alignment horizontal="center" vertical="center" wrapText="1"/>
    </xf>
    <xf numFmtId="14" fontId="7" fillId="0" borderId="2"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3" fillId="0" borderId="6"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3" fontId="3" fillId="0" borderId="24" xfId="0" applyNumberFormat="1" applyFont="1" applyBorder="1" applyAlignment="1">
      <alignment horizontal="center" vertical="center"/>
    </xf>
    <xf numFmtId="0" fontId="7" fillId="0" borderId="4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4" xfId="0" applyFont="1" applyBorder="1" applyAlignment="1" applyProtection="1">
      <alignment horizontal="justify" vertical="center" wrapText="1"/>
      <protection locked="0"/>
    </xf>
    <xf numFmtId="0" fontId="7" fillId="0" borderId="17" xfId="0" applyFont="1" applyBorder="1" applyAlignment="1" applyProtection="1">
      <alignment horizontal="justify" vertical="center" wrapText="1"/>
      <protection locked="0"/>
    </xf>
    <xf numFmtId="9" fontId="3" fillId="2" borderId="23" xfId="3" applyFont="1" applyFill="1" applyBorder="1" applyAlignment="1">
      <alignment horizontal="center" vertical="center"/>
    </xf>
    <xf numFmtId="9" fontId="3" fillId="2" borderId="29" xfId="3" applyFont="1" applyFill="1" applyBorder="1" applyAlignment="1">
      <alignment horizontal="center" vertical="center"/>
    </xf>
    <xf numFmtId="173" fontId="7" fillId="0" borderId="24" xfId="7" applyFont="1" applyFill="1" applyBorder="1" applyAlignment="1">
      <alignment vertical="center" wrapText="1"/>
    </xf>
    <xf numFmtId="173" fontId="7" fillId="0" borderId="17" xfId="7" applyFont="1" applyFill="1" applyBorder="1" applyAlignment="1">
      <alignment vertical="center" wrapText="1"/>
    </xf>
    <xf numFmtId="14" fontId="7" fillId="0" borderId="24" xfId="0" applyNumberFormat="1" applyFont="1" applyBorder="1" applyAlignment="1" applyProtection="1">
      <alignment horizontal="center" vertical="center" wrapText="1"/>
      <protection locked="0"/>
    </xf>
    <xf numFmtId="14" fontId="7" fillId="0" borderId="17" xfId="0" applyNumberFormat="1" applyFont="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3" fillId="0" borderId="0" xfId="0" applyFont="1" applyFill="1" applyAlignment="1">
      <alignment horizontal="center"/>
    </xf>
    <xf numFmtId="0" fontId="3" fillId="0" borderId="13" xfId="0" applyFont="1" applyFill="1" applyBorder="1" applyAlignment="1">
      <alignment horizontal="center"/>
    </xf>
    <xf numFmtId="0" fontId="7" fillId="0" borderId="42" xfId="0" applyFont="1" applyFill="1" applyBorder="1" applyAlignment="1">
      <alignment horizontal="center" vertical="center" wrapText="1"/>
    </xf>
    <xf numFmtId="0" fontId="7" fillId="0" borderId="25" xfId="0" applyFont="1" applyFill="1" applyBorder="1" applyAlignment="1">
      <alignment horizontal="center" vertical="center" wrapText="1"/>
    </xf>
    <xf numFmtId="173" fontId="7" fillId="0" borderId="9" xfId="7" applyFont="1" applyFill="1" applyBorder="1" applyAlignment="1">
      <alignment vertical="center" wrapText="1"/>
    </xf>
    <xf numFmtId="0" fontId="7" fillId="0" borderId="17" xfId="0" applyFont="1" applyFill="1" applyBorder="1" applyAlignment="1" applyProtection="1">
      <alignment horizontal="justify" vertical="center" wrapText="1"/>
      <protection locked="0"/>
    </xf>
    <xf numFmtId="174" fontId="3" fillId="0" borderId="24" xfId="12" applyNumberFormat="1" applyFont="1" applyFill="1" applyBorder="1" applyAlignment="1">
      <alignment horizontal="center" vertical="center"/>
    </xf>
    <xf numFmtId="174" fontId="3" fillId="0" borderId="17" xfId="12" applyNumberFormat="1" applyFont="1" applyFill="1" applyBorder="1" applyAlignment="1">
      <alignment horizontal="center" vertical="center"/>
    </xf>
    <xf numFmtId="174" fontId="3" fillId="0" borderId="24" xfId="0" applyNumberFormat="1" applyFont="1" applyFill="1" applyBorder="1" applyAlignment="1">
      <alignment horizontal="center" vertical="center"/>
    </xf>
    <xf numFmtId="174" fontId="3" fillId="0" borderId="17" xfId="0" applyNumberFormat="1" applyFont="1" applyFill="1" applyBorder="1" applyAlignment="1">
      <alignment horizontal="center" vertical="center"/>
    </xf>
    <xf numFmtId="14" fontId="7" fillId="0" borderId="24" xfId="0" applyNumberFormat="1" applyFont="1" applyFill="1" applyBorder="1" applyAlignment="1" applyProtection="1">
      <alignment horizontal="center" vertical="center" wrapText="1"/>
      <protection locked="0"/>
    </xf>
    <xf numFmtId="14" fontId="7" fillId="0" borderId="17" xfId="0" applyNumberFormat="1" applyFont="1" applyFill="1" applyBorder="1" applyAlignment="1" applyProtection="1">
      <alignment horizontal="center" vertical="center" wrapText="1"/>
      <protection locked="0"/>
    </xf>
    <xf numFmtId="0" fontId="7" fillId="0" borderId="21" xfId="5" applyNumberFormat="1" applyFont="1" applyFill="1" applyBorder="1">
      <alignment horizontal="center" vertical="center" wrapText="1"/>
    </xf>
    <xf numFmtId="0" fontId="3" fillId="0" borderId="23"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3" fillId="0" borderId="63"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9" fontId="7" fillId="0" borderId="17" xfId="3" applyFont="1" applyFill="1" applyBorder="1" applyAlignment="1" applyProtection="1">
      <alignment horizontal="center" vertical="center" wrapText="1"/>
      <protection locked="0"/>
    </xf>
    <xf numFmtId="179" fontId="3" fillId="0" borderId="59" xfId="8" applyNumberFormat="1" applyFont="1" applyFill="1" applyBorder="1" applyAlignment="1">
      <alignment horizontal="center" vertical="center"/>
    </xf>
    <xf numFmtId="179" fontId="3" fillId="0" borderId="14" xfId="8" applyNumberFormat="1" applyFont="1" applyFill="1" applyBorder="1" applyAlignment="1">
      <alignment horizontal="center" vertical="center"/>
    </xf>
    <xf numFmtId="179" fontId="3" fillId="0" borderId="15" xfId="8" applyNumberFormat="1" applyFont="1" applyFill="1" applyBorder="1" applyAlignment="1">
      <alignment horizontal="center" vertical="center"/>
    </xf>
    <xf numFmtId="0" fontId="7" fillId="0" borderId="26" xfId="0" applyFont="1" applyFill="1" applyBorder="1" applyAlignment="1">
      <alignment horizontal="justify" vertical="center" wrapText="1"/>
    </xf>
    <xf numFmtId="179" fontId="3" fillId="0" borderId="64" xfId="8" applyNumberFormat="1" applyFont="1" applyFill="1" applyBorder="1" applyAlignment="1">
      <alignment horizontal="center" vertical="center"/>
    </xf>
    <xf numFmtId="179" fontId="3" fillId="0" borderId="13" xfId="8" applyNumberFormat="1" applyFont="1" applyFill="1" applyBorder="1" applyAlignment="1">
      <alignment horizontal="center" vertical="center"/>
    </xf>
    <xf numFmtId="179" fontId="3" fillId="0" borderId="6" xfId="8" applyNumberFormat="1" applyFont="1" applyFill="1" applyBorder="1" applyAlignment="1">
      <alignment horizontal="center" vertical="center"/>
    </xf>
    <xf numFmtId="9" fontId="7" fillId="0" borderId="25" xfId="3" applyFont="1" applyFill="1" applyBorder="1" applyAlignment="1">
      <alignment horizontal="center" vertical="center" wrapText="1"/>
    </xf>
    <xf numFmtId="9" fontId="7" fillId="0" borderId="30" xfId="3" applyFont="1" applyFill="1" applyBorder="1" applyAlignment="1">
      <alignment horizontal="center" vertical="center" wrapText="1"/>
    </xf>
    <xf numFmtId="9" fontId="7" fillId="0" borderId="42" xfId="3" applyFont="1" applyFill="1" applyBorder="1" applyAlignment="1">
      <alignment horizontal="center" vertical="center" wrapText="1"/>
    </xf>
    <xf numFmtId="173" fontId="7" fillId="0" borderId="38" xfId="7" applyFont="1" applyFill="1" applyBorder="1" applyAlignment="1">
      <alignment vertical="center" wrapText="1"/>
    </xf>
    <xf numFmtId="0" fontId="7" fillId="0" borderId="16" xfId="5" applyNumberFormat="1" applyFont="1" applyFill="1" applyBorder="1">
      <alignment horizontal="center" vertical="center" wrapText="1"/>
    </xf>
    <xf numFmtId="9" fontId="7" fillId="0" borderId="38" xfId="3" applyFont="1" applyFill="1" applyBorder="1" applyAlignment="1">
      <alignment horizontal="center" vertical="center" wrapText="1"/>
    </xf>
    <xf numFmtId="0" fontId="7" fillId="0" borderId="7" xfId="5" applyNumberFormat="1" applyFont="1" applyFill="1" applyBorder="1">
      <alignment horizontal="center" vertical="center" wrapText="1"/>
    </xf>
    <xf numFmtId="0" fontId="7" fillId="0" borderId="1" xfId="5" applyNumberFormat="1" applyFont="1" applyFill="1" applyBorder="1">
      <alignment horizontal="center" vertical="center" wrapText="1"/>
    </xf>
    <xf numFmtId="0" fontId="7" fillId="0" borderId="4" xfId="5" applyNumberFormat="1" applyFont="1" applyFill="1" applyBorder="1">
      <alignment horizontal="center" vertical="center" wrapText="1"/>
    </xf>
    <xf numFmtId="0" fontId="7" fillId="0" borderId="33" xfId="5" applyNumberFormat="1" applyFont="1" applyFill="1" applyBorder="1">
      <alignment horizontal="center" vertical="center" wrapText="1"/>
    </xf>
    <xf numFmtId="179" fontId="3" fillId="0" borderId="69" xfId="8" applyNumberFormat="1" applyFont="1" applyFill="1" applyBorder="1" applyAlignment="1">
      <alignment horizontal="center" vertical="center"/>
    </xf>
    <xf numFmtId="179" fontId="3" fillId="0" borderId="68" xfId="8" applyNumberFormat="1" applyFont="1" applyFill="1" applyBorder="1" applyAlignment="1">
      <alignment horizontal="center" vertical="center"/>
    </xf>
    <xf numFmtId="179" fontId="3" fillId="0" borderId="1" xfId="8" applyNumberFormat="1" applyFont="1" applyFill="1" applyBorder="1" applyAlignment="1">
      <alignment horizontal="center" vertical="center"/>
    </xf>
    <xf numFmtId="0" fontId="7" fillId="0" borderId="14" xfId="3"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14" fontId="7" fillId="0" borderId="14"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9" fontId="7" fillId="0" borderId="17" xfId="7" applyNumberFormat="1" applyFont="1" applyBorder="1" applyAlignment="1">
      <alignment horizontal="center" vertical="center" wrapText="1"/>
    </xf>
    <xf numFmtId="173" fontId="7" fillId="0" borderId="17" xfId="7" applyFont="1" applyBorder="1" applyAlignment="1">
      <alignment vertical="center" wrapText="1"/>
    </xf>
    <xf numFmtId="0" fontId="7" fillId="0" borderId="56"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27" xfId="0" applyFont="1" applyBorder="1" applyAlignment="1">
      <alignment horizontal="justify" vertical="center" wrapText="1"/>
    </xf>
    <xf numFmtId="0" fontId="7" fillId="0" borderId="37" xfId="0" applyFont="1" applyBorder="1" applyAlignment="1">
      <alignment horizontal="justify" vertical="center" wrapText="1"/>
    </xf>
    <xf numFmtId="9" fontId="7" fillId="0" borderId="14" xfId="3" applyFont="1" applyBorder="1" applyAlignment="1">
      <alignment horizontal="center" vertical="center" wrapText="1"/>
    </xf>
    <xf numFmtId="9" fontId="7" fillId="0" borderId="15" xfId="3" applyFont="1" applyBorder="1" applyAlignment="1">
      <alignment horizontal="center" vertical="center" wrapText="1"/>
    </xf>
    <xf numFmtId="14" fontId="7" fillId="0" borderId="15" xfId="0" applyNumberFormat="1" applyFont="1" applyBorder="1" applyAlignment="1">
      <alignment horizontal="center" vertical="center" wrapText="1"/>
    </xf>
    <xf numFmtId="0" fontId="3" fillId="0" borderId="22" xfId="0" applyFont="1" applyBorder="1" applyAlignment="1">
      <alignment horizontal="justify" vertical="center" wrapText="1"/>
    </xf>
    <xf numFmtId="0" fontId="7" fillId="0" borderId="5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170" fontId="7" fillId="0" borderId="14" xfId="7" applyNumberFormat="1" applyFont="1" applyBorder="1" applyAlignment="1">
      <alignment vertical="center" wrapText="1"/>
    </xf>
    <xf numFmtId="170" fontId="7" fillId="0" borderId="15" xfId="7" applyNumberFormat="1" applyFont="1" applyBorder="1" applyAlignment="1">
      <alignment vertical="center" wrapText="1"/>
    </xf>
    <xf numFmtId="9" fontId="7" fillId="0" borderId="9" xfId="3" applyFont="1" applyBorder="1" applyAlignment="1">
      <alignment horizontal="center" vertical="center" wrapText="1"/>
    </xf>
    <xf numFmtId="0" fontId="7" fillId="0" borderId="51"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justify" vertical="center" wrapText="1"/>
      <protection locked="0"/>
    </xf>
    <xf numFmtId="0" fontId="7" fillId="0" borderId="42" xfId="0" applyFont="1" applyFill="1" applyBorder="1" applyAlignment="1" applyProtection="1">
      <alignment horizontal="justify" vertical="center" wrapText="1"/>
      <protection locked="0"/>
    </xf>
    <xf numFmtId="173" fontId="7" fillId="0" borderId="30" xfId="7" applyFont="1" applyFill="1" applyBorder="1" applyAlignment="1">
      <alignment vertical="center" wrapText="1"/>
    </xf>
    <xf numFmtId="0" fontId="7" fillId="0" borderId="26" xfId="0" applyFont="1" applyBorder="1" applyAlignment="1" applyProtection="1">
      <alignment horizontal="justify" vertical="center" wrapText="1"/>
      <protection locked="0"/>
    </xf>
    <xf numFmtId="9" fontId="7" fillId="0" borderId="26" xfId="3" applyFont="1" applyBorder="1" applyAlignment="1">
      <alignment horizontal="center" vertical="center" wrapText="1"/>
    </xf>
    <xf numFmtId="9" fontId="7" fillId="0" borderId="24" xfId="3" applyFont="1" applyBorder="1" applyAlignment="1">
      <alignment horizontal="center" vertical="center" wrapText="1"/>
    </xf>
    <xf numFmtId="0" fontId="7" fillId="0" borderId="64" xfId="5" applyNumberFormat="1" applyFont="1" applyFill="1" applyBorder="1" applyAlignment="1">
      <alignment horizontal="center" vertical="center" wrapText="1"/>
    </xf>
    <xf numFmtId="0" fontId="7" fillId="0" borderId="28" xfId="5" applyNumberFormat="1" applyFont="1" applyFill="1" applyBorder="1" applyAlignment="1">
      <alignment horizontal="center" vertical="center" wrapText="1"/>
    </xf>
    <xf numFmtId="0" fontId="7" fillId="0" borderId="2" xfId="5" applyNumberFormat="1" applyFont="1" applyFill="1" applyBorder="1" applyAlignment="1">
      <alignment horizontal="center" vertical="center" wrapText="1"/>
    </xf>
    <xf numFmtId="10" fontId="7" fillId="0" borderId="2" xfId="3"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19" xfId="0" applyFont="1" applyBorder="1" applyAlignment="1" applyProtection="1">
      <alignment horizontal="justify" vertical="center" wrapText="1"/>
      <protection locked="0"/>
    </xf>
    <xf numFmtId="0" fontId="3" fillId="2" borderId="19" xfId="0" applyFont="1" applyFill="1" applyBorder="1" applyAlignment="1">
      <alignment horizontal="justify" vertical="center" wrapText="1"/>
    </xf>
    <xf numFmtId="0" fontId="3" fillId="2" borderId="19" xfId="0" applyFont="1" applyFill="1" applyBorder="1" applyAlignment="1">
      <alignment horizontal="center" vertical="center" wrapText="1"/>
    </xf>
    <xf numFmtId="0" fontId="7" fillId="0" borderId="70" xfId="5" applyNumberFormat="1" applyFont="1" applyFill="1" applyBorder="1" applyAlignment="1">
      <alignment horizontal="center" vertical="center" wrapText="1"/>
    </xf>
    <xf numFmtId="9" fontId="7" fillId="0" borderId="25" xfId="3" applyFont="1" applyBorder="1" applyAlignment="1">
      <alignment horizontal="center" vertical="center" wrapText="1"/>
    </xf>
    <xf numFmtId="9" fontId="7" fillId="0" borderId="30" xfId="3" applyFont="1" applyBorder="1" applyAlignment="1">
      <alignment horizontal="center" vertical="center" wrapText="1"/>
    </xf>
    <xf numFmtId="170" fontId="7" fillId="0" borderId="24" xfId="7" applyNumberFormat="1" applyFont="1" applyBorder="1" applyAlignment="1">
      <alignment vertical="center" wrapText="1"/>
    </xf>
    <xf numFmtId="170" fontId="7" fillId="0" borderId="17" xfId="7" applyNumberFormat="1" applyFont="1" applyBorder="1" applyAlignment="1">
      <alignment vertical="center" wrapText="1"/>
    </xf>
    <xf numFmtId="0" fontId="7" fillId="0" borderId="35" xfId="0" applyFont="1" applyBorder="1" applyAlignment="1">
      <alignment horizontal="justify" vertical="center" wrapText="1"/>
    </xf>
    <xf numFmtId="0" fontId="7" fillId="2" borderId="2" xfId="0"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173" fontId="7" fillId="0" borderId="2" xfId="7" applyFont="1" applyFill="1" applyBorder="1" applyAlignment="1">
      <alignment vertical="center" wrapText="1"/>
    </xf>
    <xf numFmtId="14" fontId="7" fillId="0" borderId="15" xfId="0" applyNumberFormat="1" applyFont="1" applyFill="1" applyBorder="1" applyAlignment="1">
      <alignment horizontal="center" vertical="center" wrapText="1"/>
    </xf>
    <xf numFmtId="0" fontId="3" fillId="2" borderId="19" xfId="0" applyFont="1" applyFill="1" applyBorder="1" applyAlignment="1">
      <alignment horizontal="center" vertical="center"/>
    </xf>
    <xf numFmtId="9" fontId="3" fillId="2" borderId="24" xfId="3" applyFont="1" applyFill="1" applyBorder="1" applyAlignment="1">
      <alignment horizontal="center" vertical="center"/>
    </xf>
    <xf numFmtId="0" fontId="7" fillId="0" borderId="23" xfId="5" applyNumberFormat="1" applyFont="1" applyFill="1" applyBorder="1">
      <alignment horizontal="center" vertical="center" wrapText="1"/>
    </xf>
    <xf numFmtId="0" fontId="7" fillId="0" borderId="29" xfId="5" applyNumberFormat="1" applyFont="1" applyFill="1" applyBorder="1">
      <alignment horizontal="center" vertical="center" wrapText="1"/>
    </xf>
    <xf numFmtId="0" fontId="3" fillId="0" borderId="8" xfId="0" applyFont="1" applyBorder="1" applyAlignment="1">
      <alignment horizontal="center"/>
    </xf>
    <xf numFmtId="0" fontId="3" fillId="0" borderId="7" xfId="0" applyFont="1" applyBorder="1" applyAlignment="1">
      <alignment horizontal="center"/>
    </xf>
    <xf numFmtId="0" fontId="3" fillId="0" borderId="4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Fill="1" applyBorder="1" applyAlignment="1">
      <alignment horizontal="center" vertical="center" wrapText="1"/>
    </xf>
    <xf numFmtId="170" fontId="7" fillId="0" borderId="23" xfId="7" applyNumberFormat="1" applyFont="1" applyFill="1" applyBorder="1" applyAlignment="1">
      <alignment vertical="center" wrapText="1"/>
    </xf>
    <xf numFmtId="170" fontId="7" fillId="0" borderId="29" xfId="7" applyNumberFormat="1" applyFont="1" applyFill="1" applyBorder="1" applyAlignment="1">
      <alignment vertical="center" wrapText="1"/>
    </xf>
    <xf numFmtId="174" fontId="3" fillId="0" borderId="17" xfId="0" applyNumberFormat="1" applyFont="1" applyBorder="1" applyAlignment="1">
      <alignment horizontal="center" vertical="center"/>
    </xf>
    <xf numFmtId="173" fontId="7" fillId="0" borderId="26" xfId="7" applyFont="1" applyFill="1" applyBorder="1" applyAlignment="1">
      <alignment horizontal="center" vertical="center" wrapText="1"/>
    </xf>
    <xf numFmtId="173" fontId="7" fillId="0" borderId="20" xfId="7"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0" xfId="0" applyFont="1" applyFill="1" applyBorder="1" applyAlignment="1">
      <alignment horizontal="center" vertical="center" wrapText="1"/>
    </xf>
    <xf numFmtId="43" fontId="7" fillId="0" borderId="9" xfId="0" applyNumberFormat="1" applyFont="1" applyFill="1" applyBorder="1" applyAlignment="1">
      <alignment horizontal="center" vertical="center"/>
    </xf>
    <xf numFmtId="43" fontId="7" fillId="0" borderId="14" xfId="0" applyNumberFormat="1" applyFont="1" applyFill="1" applyBorder="1" applyAlignment="1">
      <alignment horizontal="center" vertical="center"/>
    </xf>
    <xf numFmtId="43" fontId="7" fillId="0" borderId="15"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42" xfId="0" applyFont="1" applyFill="1" applyBorder="1" applyAlignment="1">
      <alignment horizontal="justify" vertical="center" wrapText="1"/>
    </xf>
    <xf numFmtId="173" fontId="7" fillId="0" borderId="2" xfId="0" applyNumberFormat="1" applyFont="1" applyFill="1" applyBorder="1" applyAlignment="1">
      <alignment horizontal="justify" vertical="center" wrapText="1"/>
    </xf>
    <xf numFmtId="0" fontId="7" fillId="0" borderId="6" xfId="0" applyFont="1" applyFill="1" applyBorder="1" applyAlignment="1">
      <alignment horizontal="center" vertical="center" wrapText="1"/>
    </xf>
    <xf numFmtId="0" fontId="7" fillId="0" borderId="72" xfId="0" applyFont="1" applyFill="1" applyBorder="1" applyAlignment="1">
      <alignment horizontal="justify" vertical="center" wrapText="1"/>
    </xf>
    <xf numFmtId="0" fontId="7" fillId="0" borderId="70" xfId="0" applyFont="1" applyFill="1" applyBorder="1" applyAlignment="1">
      <alignment horizontal="justify" vertical="center" wrapText="1"/>
    </xf>
    <xf numFmtId="0" fontId="3" fillId="0" borderId="7" xfId="18" applyFont="1" applyFill="1" applyBorder="1" applyAlignment="1">
      <alignment horizontal="center" vertical="center" wrapText="1"/>
    </xf>
    <xf numFmtId="0" fontId="3" fillId="0" borderId="1" xfId="18" applyFont="1" applyFill="1" applyBorder="1" applyAlignment="1">
      <alignment horizontal="center" vertical="center" wrapText="1"/>
    </xf>
    <xf numFmtId="0" fontId="7" fillId="0" borderId="37" xfId="0" applyFont="1" applyFill="1" applyBorder="1" applyAlignment="1">
      <alignment horizontal="center" vertical="center" wrapText="1"/>
    </xf>
    <xf numFmtId="43" fontId="7" fillId="0" borderId="17" xfId="0" applyNumberFormat="1" applyFont="1" applyFill="1" applyBorder="1" applyAlignment="1">
      <alignment horizontal="center" vertical="center" wrapText="1"/>
    </xf>
    <xf numFmtId="43" fontId="7" fillId="0" borderId="38" xfId="0" applyNumberFormat="1" applyFont="1" applyFill="1" applyBorder="1" applyAlignment="1">
      <alignment horizontal="center" vertical="center" wrapText="1"/>
    </xf>
    <xf numFmtId="9" fontId="7" fillId="0" borderId="17" xfId="3" applyNumberFormat="1" applyFont="1" applyFill="1" applyBorder="1" applyAlignment="1">
      <alignment horizontal="center" vertical="center" wrapText="1"/>
    </xf>
    <xf numFmtId="173" fontId="7" fillId="0" borderId="17"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9" fontId="7" fillId="0" borderId="5" xfId="3" applyFont="1" applyFill="1" applyBorder="1" applyAlignment="1">
      <alignment horizontal="center" vertical="center" wrapText="1"/>
    </xf>
    <xf numFmtId="9" fontId="7" fillId="0" borderId="3" xfId="3" applyFont="1" applyFill="1" applyBorder="1" applyAlignment="1">
      <alignment horizontal="center" vertical="center" wrapText="1"/>
    </xf>
    <xf numFmtId="173" fontId="7" fillId="0" borderId="9" xfId="0" applyNumberFormat="1" applyFont="1" applyFill="1" applyBorder="1" applyAlignment="1">
      <alignment horizontal="center" vertical="center" wrapText="1"/>
    </xf>
    <xf numFmtId="173" fontId="7" fillId="0" borderId="14" xfId="0" applyNumberFormat="1" applyFont="1" applyFill="1" applyBorder="1" applyAlignment="1">
      <alignment horizontal="center" vertical="center" wrapText="1"/>
    </xf>
    <xf numFmtId="173" fontId="7" fillId="0" borderId="1" xfId="0" applyNumberFormat="1" applyFont="1" applyFill="1" applyBorder="1" applyAlignment="1">
      <alignment horizontal="center" vertical="center" wrapText="1"/>
    </xf>
    <xf numFmtId="173" fontId="7" fillId="0" borderId="17" xfId="0" applyNumberFormat="1" applyFont="1" applyFill="1" applyBorder="1" applyAlignment="1">
      <alignment horizontal="justify" vertical="center" wrapText="1"/>
    </xf>
    <xf numFmtId="2" fontId="7" fillId="0" borderId="29" xfId="0" applyNumberFormat="1" applyFont="1" applyFill="1" applyBorder="1" applyAlignment="1">
      <alignment horizontal="center" vertical="center" wrapText="1"/>
    </xf>
    <xf numFmtId="2" fontId="7" fillId="0" borderId="39" xfId="0" applyNumberFormat="1" applyFont="1" applyFill="1" applyBorder="1" applyAlignment="1">
      <alignment horizontal="center" vertical="center" wrapText="1"/>
    </xf>
    <xf numFmtId="9" fontId="7" fillId="0" borderId="13" xfId="3" applyFont="1" applyFill="1" applyBorder="1" applyAlignment="1">
      <alignment horizontal="center" vertical="center" wrapText="1"/>
    </xf>
    <xf numFmtId="9" fontId="7" fillId="0" borderId="6" xfId="3"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0" xfId="0" applyFont="1" applyFill="1" applyBorder="1" applyAlignment="1">
      <alignment horizontal="center" vertical="center" wrapText="1"/>
    </xf>
    <xf numFmtId="173" fontId="7" fillId="0" borderId="38" xfId="0" applyNumberFormat="1" applyFont="1" applyFill="1" applyBorder="1" applyAlignment="1">
      <alignment horizontal="center" vertical="center" wrapText="1"/>
    </xf>
    <xf numFmtId="0" fontId="7" fillId="0" borderId="6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2"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5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5" xfId="0" applyFont="1" applyFill="1" applyBorder="1" applyAlignment="1">
      <alignment horizontal="center" vertical="center" wrapText="1"/>
    </xf>
    <xf numFmtId="173" fontId="7" fillId="0" borderId="12" xfId="0" applyNumberFormat="1"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xf>
    <xf numFmtId="43" fontId="7" fillId="0" borderId="9" xfId="0" applyNumberFormat="1" applyFont="1" applyFill="1" applyBorder="1" applyAlignment="1">
      <alignment horizontal="center" vertical="center" wrapText="1"/>
    </xf>
    <xf numFmtId="43" fontId="7" fillId="0" borderId="14"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43" fontId="7" fillId="0" borderId="15"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0" fontId="3" fillId="0" borderId="6" xfId="0" applyFont="1" applyFill="1" applyBorder="1" applyAlignment="1">
      <alignment horizontal="justify" vertical="center" wrapText="1"/>
    </xf>
    <xf numFmtId="9" fontId="3" fillId="0" borderId="38" xfId="3" applyFont="1" applyFill="1" applyBorder="1" applyAlignment="1">
      <alignment horizontal="center" vertical="center"/>
    </xf>
    <xf numFmtId="9" fontId="3" fillId="0" borderId="26" xfId="3" applyFont="1" applyFill="1" applyBorder="1" applyAlignment="1">
      <alignment horizontal="center" vertical="center"/>
    </xf>
    <xf numFmtId="9" fontId="3" fillId="0" borderId="24" xfId="3" applyFont="1" applyFill="1" applyBorder="1" applyAlignment="1">
      <alignment horizontal="center" vertical="center"/>
    </xf>
    <xf numFmtId="170" fontId="7" fillId="0" borderId="1" xfId="6" applyFont="1" applyFill="1" applyBorder="1" applyAlignment="1">
      <alignment horizontal="center" vertical="center"/>
    </xf>
    <xf numFmtId="170" fontId="7" fillId="0" borderId="4" xfId="6" applyFont="1" applyFill="1" applyBorder="1" applyAlignment="1">
      <alignment horizontal="center" vertical="center"/>
    </xf>
    <xf numFmtId="170" fontId="7" fillId="0" borderId="9" xfId="6" applyFont="1" applyFill="1" applyBorder="1" applyAlignment="1">
      <alignment horizontal="center" vertical="center"/>
    </xf>
    <xf numFmtId="170" fontId="7" fillId="0" borderId="14" xfId="6" applyFont="1" applyFill="1" applyBorder="1" applyAlignment="1">
      <alignment horizontal="center" vertical="center"/>
    </xf>
    <xf numFmtId="1" fontId="3" fillId="0" borderId="9"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3" fillId="0" borderId="10" xfId="0" applyFont="1" applyFill="1" applyBorder="1" applyAlignment="1">
      <alignment horizontal="center" vertical="center" wrapText="1"/>
    </xf>
    <xf numFmtId="170" fontId="7" fillId="0" borderId="7" xfId="6" applyFont="1" applyBorder="1" applyAlignment="1">
      <alignment horizontal="center" vertical="center"/>
    </xf>
    <xf numFmtId="170" fontId="7" fillId="0" borderId="1" xfId="6" applyFont="1" applyBorder="1" applyAlignment="1">
      <alignment horizontal="center" vertical="center"/>
    </xf>
    <xf numFmtId="170" fontId="7" fillId="0" borderId="4" xfId="6" applyFont="1" applyBorder="1" applyAlignment="1">
      <alignment horizontal="center" vertical="center"/>
    </xf>
    <xf numFmtId="3" fontId="3" fillId="0" borderId="13" xfId="0" applyNumberFormat="1" applyFont="1" applyFill="1" applyBorder="1" applyAlignment="1">
      <alignment horizontal="justify" vertical="center" wrapText="1"/>
    </xf>
    <xf numFmtId="3" fontId="3" fillId="0" borderId="6" xfId="0" applyNumberFormat="1" applyFont="1" applyFill="1" applyBorder="1" applyAlignment="1">
      <alignment horizontal="justify" vertical="center" wrapText="1"/>
    </xf>
    <xf numFmtId="1" fontId="3" fillId="2" borderId="2" xfId="0" applyNumberFormat="1" applyFont="1" applyFill="1" applyBorder="1" applyAlignment="1">
      <alignment horizontal="justify" vertical="center" wrapText="1"/>
    </xf>
    <xf numFmtId="165" fontId="2" fillId="3" borderId="2" xfId="0" applyNumberFormat="1" applyFont="1" applyFill="1" applyBorder="1" applyAlignment="1">
      <alignment horizontal="center" vertical="center" wrapText="1"/>
    </xf>
    <xf numFmtId="166" fontId="2" fillId="3" borderId="2" xfId="0" applyNumberFormat="1" applyFont="1" applyFill="1" applyBorder="1" applyAlignment="1">
      <alignment horizontal="center" vertical="center" wrapText="1"/>
    </xf>
    <xf numFmtId="0" fontId="7" fillId="0" borderId="33" xfId="0" applyFont="1" applyFill="1" applyBorder="1" applyAlignment="1">
      <alignment horizontal="justify" vertical="center" wrapText="1"/>
    </xf>
    <xf numFmtId="0" fontId="6" fillId="3" borderId="8" xfId="0" applyFont="1" applyFill="1" applyBorder="1" applyAlignment="1">
      <alignment horizontal="center" vertical="center" textRotation="90" wrapText="1"/>
    </xf>
    <xf numFmtId="0" fontId="6" fillId="3" borderId="6" xfId="0" applyFont="1" applyFill="1" applyBorder="1" applyAlignment="1">
      <alignment horizontal="center" vertical="center" textRotation="90" wrapText="1"/>
    </xf>
    <xf numFmtId="1" fontId="2" fillId="3" borderId="2"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167" fontId="2" fillId="3" borderId="15"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0" fontId="2" fillId="3" borderId="9" xfId="0" applyFont="1" applyFill="1" applyBorder="1" applyAlignment="1">
      <alignment horizontal="center" vertical="center" textRotation="90" wrapText="1"/>
    </xf>
    <xf numFmtId="0" fontId="2" fillId="3" borderId="15" xfId="0" applyFont="1" applyFill="1" applyBorder="1" applyAlignment="1">
      <alignment horizontal="center" vertical="center" textRotation="90" wrapText="1"/>
    </xf>
    <xf numFmtId="49" fontId="2" fillId="3" borderId="9" xfId="0" applyNumberFormat="1" applyFont="1" applyFill="1" applyBorder="1" applyAlignment="1">
      <alignment horizontal="center" vertical="center" textRotation="90" wrapText="1"/>
    </xf>
    <xf numFmtId="49" fontId="2" fillId="3" borderId="15" xfId="0" applyNumberFormat="1" applyFont="1" applyFill="1" applyBorder="1" applyAlignment="1">
      <alignment horizontal="center" vertical="center" textRotation="90"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7" fillId="13" borderId="72" xfId="0" applyFont="1" applyFill="1" applyBorder="1" applyAlignment="1">
      <alignment horizontal="justify" vertical="center" wrapText="1"/>
    </xf>
    <xf numFmtId="0" fontId="7" fillId="13" borderId="28" xfId="0" applyFont="1" applyFill="1" applyBorder="1" applyAlignment="1">
      <alignment horizontal="justify" vertical="center" wrapText="1"/>
    </xf>
    <xf numFmtId="0" fontId="7" fillId="13" borderId="70" xfId="0" applyFont="1" applyFill="1" applyBorder="1" applyAlignment="1">
      <alignment horizontal="justify" vertical="center" wrapText="1"/>
    </xf>
    <xf numFmtId="9" fontId="2" fillId="3" borderId="2" xfId="3" applyFont="1" applyFill="1" applyBorder="1" applyAlignment="1">
      <alignment horizontal="center" vertical="center" wrapText="1"/>
    </xf>
    <xf numFmtId="0" fontId="7" fillId="2" borderId="72" xfId="0" applyFont="1" applyFill="1" applyBorder="1" applyAlignment="1">
      <alignment horizontal="justify" vertical="center" wrapText="1"/>
    </xf>
    <xf numFmtId="0" fontId="7" fillId="2" borderId="28" xfId="0" applyFont="1" applyFill="1" applyBorder="1" applyAlignment="1">
      <alignment horizontal="justify" vertical="center" wrapText="1"/>
    </xf>
    <xf numFmtId="0" fontId="7" fillId="2" borderId="70" xfId="0" applyFont="1" applyFill="1" applyBorder="1" applyAlignment="1">
      <alignment horizontal="justify" vertical="center" wrapText="1"/>
    </xf>
    <xf numFmtId="0" fontId="7" fillId="2" borderId="39" xfId="0" applyFont="1" applyFill="1" applyBorder="1" applyAlignment="1">
      <alignment horizontal="justify" vertical="center" wrapText="1"/>
    </xf>
    <xf numFmtId="0" fontId="7" fillId="2" borderId="41" xfId="0" applyFont="1" applyFill="1" applyBorder="1" applyAlignment="1">
      <alignment horizontal="justify" vertical="center" wrapText="1"/>
    </xf>
    <xf numFmtId="0" fontId="7" fillId="2" borderId="23" xfId="0" applyFont="1" applyFill="1" applyBorder="1" applyAlignment="1">
      <alignment horizontal="justify" vertical="center" wrapText="1"/>
    </xf>
    <xf numFmtId="3" fontId="3" fillId="2" borderId="17" xfId="0" applyNumberFormat="1" applyFont="1" applyFill="1" applyBorder="1" applyAlignment="1">
      <alignment horizontal="center" vertical="center"/>
    </xf>
    <xf numFmtId="173" fontId="7" fillId="2" borderId="17" xfId="7" applyFont="1" applyFill="1" applyBorder="1" applyAlignment="1">
      <alignment horizontal="center" vertical="center"/>
    </xf>
    <xf numFmtId="0" fontId="7" fillId="13" borderId="2" xfId="0" applyFont="1" applyFill="1" applyBorder="1" applyAlignment="1">
      <alignment horizontal="justify" vertical="center" wrapText="1"/>
    </xf>
    <xf numFmtId="3" fontId="3" fillId="2" borderId="30" xfId="0" applyNumberFormat="1" applyFont="1" applyFill="1" applyBorder="1" applyAlignment="1">
      <alignment horizontal="center" vertical="center"/>
    </xf>
    <xf numFmtId="0" fontId="37" fillId="2" borderId="17" xfId="0" applyFont="1" applyFill="1" applyBorder="1" applyAlignment="1">
      <alignment horizontal="justify" vertical="center" wrapText="1"/>
    </xf>
    <xf numFmtId="0" fontId="3" fillId="2" borderId="23" xfId="0" applyFont="1" applyFill="1" applyBorder="1" applyAlignment="1">
      <alignment horizontal="justify" vertical="center" wrapText="1"/>
    </xf>
    <xf numFmtId="9" fontId="7" fillId="2" borderId="38" xfId="3" applyFont="1" applyFill="1" applyBorder="1" applyAlignment="1">
      <alignment horizontal="center" vertical="center"/>
    </xf>
    <xf numFmtId="9" fontId="7" fillId="2" borderId="26" xfId="3" applyFont="1" applyFill="1" applyBorder="1" applyAlignment="1">
      <alignment horizontal="center" vertical="center"/>
    </xf>
    <xf numFmtId="9" fontId="7" fillId="2" borderId="24" xfId="3" applyFont="1" applyFill="1" applyBorder="1" applyAlignment="1">
      <alignment horizontal="center" vertical="center"/>
    </xf>
    <xf numFmtId="9" fontId="3" fillId="2" borderId="38" xfId="3" applyNumberFormat="1" applyFont="1" applyFill="1" applyBorder="1" applyAlignment="1">
      <alignment horizontal="center" vertical="center"/>
    </xf>
    <xf numFmtId="9" fontId="3" fillId="2" borderId="26" xfId="3" applyNumberFormat="1" applyFont="1" applyFill="1" applyBorder="1" applyAlignment="1">
      <alignment horizontal="center" vertical="center"/>
    </xf>
    <xf numFmtId="9" fontId="3" fillId="2" borderId="24" xfId="3" applyNumberFormat="1" applyFont="1" applyFill="1" applyBorder="1" applyAlignment="1">
      <alignment horizontal="center" vertical="center"/>
    </xf>
    <xf numFmtId="3" fontId="3" fillId="2" borderId="14"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9" fontId="3" fillId="2" borderId="59" xfId="3" applyNumberFormat="1" applyFont="1" applyFill="1" applyBorder="1" applyAlignment="1">
      <alignment horizontal="center" vertical="center"/>
    </xf>
    <xf numFmtId="173" fontId="3" fillId="2" borderId="15" xfId="7" applyFont="1" applyFill="1" applyBorder="1" applyAlignment="1">
      <alignment horizontal="center" vertical="center"/>
    </xf>
    <xf numFmtId="173" fontId="3" fillId="2" borderId="14" xfId="7" applyFont="1" applyFill="1" applyBorder="1" applyAlignment="1">
      <alignment horizontal="center" vertical="center"/>
    </xf>
    <xf numFmtId="14" fontId="3" fillId="2" borderId="13"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64" xfId="0" applyFont="1" applyFill="1" applyBorder="1" applyAlignment="1">
      <alignment horizontal="justify" vertical="center" wrapText="1"/>
    </xf>
    <xf numFmtId="0" fontId="7" fillId="0" borderId="73" xfId="0" applyFont="1" applyFill="1" applyBorder="1" applyAlignment="1">
      <alignment horizontal="justify" vertical="center" wrapText="1"/>
    </xf>
    <xf numFmtId="14" fontId="3" fillId="0" borderId="2"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14" fontId="3" fillId="0" borderId="2" xfId="0" applyNumberFormat="1" applyFont="1" applyFill="1" applyBorder="1" applyAlignment="1">
      <alignment horizontal="justify" vertical="center" wrapText="1"/>
    </xf>
    <xf numFmtId="14" fontId="3" fillId="0" borderId="9" xfId="0" applyNumberFormat="1" applyFont="1" applyFill="1" applyBorder="1" applyAlignment="1">
      <alignment horizontal="justify" vertical="center" wrapText="1"/>
    </xf>
    <xf numFmtId="173" fontId="3" fillId="0" borderId="42" xfId="7" applyFont="1" applyFill="1" applyBorder="1" applyAlignment="1">
      <alignment horizontal="center" vertical="center"/>
    </xf>
    <xf numFmtId="173" fontId="3" fillId="0" borderId="18" xfId="7" applyFont="1" applyFill="1" applyBorder="1" applyAlignment="1">
      <alignment horizontal="center" vertical="center"/>
    </xf>
    <xf numFmtId="173" fontId="3" fillId="0" borderId="25" xfId="7" applyFont="1" applyFill="1" applyBorder="1" applyAlignment="1">
      <alignment horizontal="center" vertical="center"/>
    </xf>
    <xf numFmtId="0" fontId="7" fillId="0" borderId="41" xfId="0" applyFont="1" applyFill="1" applyBorder="1" applyAlignment="1">
      <alignment horizontal="justify" vertical="center" wrapText="1"/>
    </xf>
    <xf numFmtId="1" fontId="16" fillId="0" borderId="2" xfId="0" applyNumberFormat="1" applyFont="1" applyFill="1" applyBorder="1" applyAlignment="1">
      <alignment horizontal="center" vertical="center" wrapText="1"/>
    </xf>
    <xf numFmtId="0" fontId="7" fillId="0" borderId="56" xfId="0" applyFont="1" applyFill="1" applyBorder="1" applyAlignment="1">
      <alignment horizontal="justify" vertical="center" wrapText="1"/>
    </xf>
    <xf numFmtId="173" fontId="3" fillId="0" borderId="57" xfId="7" applyFont="1" applyFill="1" applyBorder="1" applyAlignment="1">
      <alignment horizontal="center" vertical="center"/>
    </xf>
    <xf numFmtId="173" fontId="3" fillId="0" borderId="3" xfId="7" applyFont="1" applyFill="1" applyBorder="1" applyAlignment="1">
      <alignment horizontal="center" vertical="center"/>
    </xf>
    <xf numFmtId="0" fontId="3" fillId="0" borderId="4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7" xfId="0" applyFont="1" applyFill="1" applyBorder="1" applyAlignment="1">
      <alignment horizontal="center" vertical="center"/>
    </xf>
    <xf numFmtId="9" fontId="3" fillId="0" borderId="27" xfId="3" applyFont="1" applyFill="1" applyBorder="1" applyAlignment="1">
      <alignment horizontal="center" vertical="center"/>
    </xf>
    <xf numFmtId="14" fontId="3" fillId="0" borderId="14" xfId="0" applyNumberFormat="1" applyFont="1" applyFill="1" applyBorder="1" applyAlignment="1">
      <alignment horizontal="center" vertical="center"/>
    </xf>
    <xf numFmtId="14" fontId="3" fillId="0" borderId="15" xfId="0" applyNumberFormat="1" applyFont="1" applyFill="1" applyBorder="1" applyAlignment="1">
      <alignment horizontal="center" vertical="center"/>
    </xf>
    <xf numFmtId="0" fontId="3" fillId="0" borderId="74" xfId="0" applyFont="1" applyFill="1" applyBorder="1" applyAlignment="1">
      <alignment horizontal="justify" vertical="center" wrapText="1"/>
    </xf>
    <xf numFmtId="0" fontId="3" fillId="0" borderId="75" xfId="0" applyFont="1" applyFill="1" applyBorder="1" applyAlignment="1">
      <alignment horizontal="justify" vertical="center" wrapText="1"/>
    </xf>
    <xf numFmtId="0" fontId="7" fillId="2" borderId="72" xfId="0" applyFont="1" applyFill="1" applyBorder="1" applyAlignment="1">
      <alignment horizontal="center" vertical="center" wrapText="1"/>
    </xf>
    <xf numFmtId="0" fontId="7" fillId="2" borderId="28" xfId="0" applyFont="1" applyFill="1" applyBorder="1" applyAlignment="1">
      <alignment horizontal="center" vertical="center" wrapText="1"/>
    </xf>
    <xf numFmtId="3" fontId="3" fillId="2" borderId="2" xfId="0" applyNumberFormat="1" applyFont="1" applyFill="1" applyBorder="1" applyAlignment="1">
      <alignment horizontal="justify" vertical="center" wrapText="1"/>
    </xf>
    <xf numFmtId="9" fontId="3" fillId="2" borderId="2" xfId="3" applyFont="1" applyFill="1" applyBorder="1" applyAlignment="1">
      <alignment horizontal="center" vertical="center"/>
    </xf>
    <xf numFmtId="0" fontId="3" fillId="2" borderId="16"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3" fillId="2" borderId="21" xfId="0" applyFont="1" applyFill="1" applyBorder="1" applyAlignment="1">
      <alignment horizontal="justify" vertical="center" wrapText="1"/>
    </xf>
    <xf numFmtId="4" fontId="18" fillId="2" borderId="39" xfId="0" applyNumberFormat="1" applyFont="1" applyFill="1" applyBorder="1" applyAlignment="1">
      <alignment horizontal="justify" vertical="center" wrapText="1" readingOrder="1"/>
    </xf>
    <xf numFmtId="4" fontId="18" fillId="2" borderId="41" xfId="0" applyNumberFormat="1" applyFont="1" applyFill="1" applyBorder="1" applyAlignment="1">
      <alignment horizontal="justify" vertical="center" wrapText="1" readingOrder="1"/>
    </xf>
    <xf numFmtId="4" fontId="18" fillId="2" borderId="35" xfId="0" applyNumberFormat="1" applyFont="1" applyFill="1" applyBorder="1" applyAlignment="1">
      <alignment horizontal="justify" vertical="center" wrapText="1" readingOrder="1"/>
    </xf>
    <xf numFmtId="3" fontId="3" fillId="2" borderId="2" xfId="0" applyNumberFormat="1" applyFont="1" applyFill="1" applyBorder="1" applyAlignment="1">
      <alignment horizontal="center" vertical="center"/>
    </xf>
    <xf numFmtId="0" fontId="3" fillId="2" borderId="28" xfId="0" applyFont="1" applyFill="1" applyBorder="1" applyAlignment="1">
      <alignment horizontal="justify" vertical="center" wrapText="1"/>
    </xf>
    <xf numFmtId="0" fontId="7" fillId="2" borderId="6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3" fillId="2" borderId="33" xfId="0" applyFont="1" applyFill="1" applyBorder="1" applyAlignment="1">
      <alignment horizontal="center" vertical="center"/>
    </xf>
    <xf numFmtId="0" fontId="7" fillId="14" borderId="38" xfId="0" applyFont="1" applyFill="1" applyBorder="1" applyAlignment="1">
      <alignment horizontal="justify" vertical="center" wrapText="1"/>
    </xf>
    <xf numFmtId="0" fontId="7" fillId="14" borderId="20" xfId="0" applyFont="1" applyFill="1" applyBorder="1" applyAlignment="1">
      <alignment horizontal="justify"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3" xfId="0" applyFont="1" applyFill="1" applyBorder="1" applyAlignment="1">
      <alignment horizontal="justify" vertical="center" wrapText="1"/>
    </xf>
    <xf numFmtId="0" fontId="18" fillId="2" borderId="6" xfId="0" applyFont="1" applyFill="1" applyBorder="1" applyAlignment="1">
      <alignment horizontal="justify" vertical="center" wrapText="1"/>
    </xf>
    <xf numFmtId="43" fontId="18" fillId="2" borderId="0" xfId="1" applyFont="1" applyFill="1" applyBorder="1" applyAlignment="1">
      <alignment horizontal="center" vertical="center" readingOrder="1"/>
    </xf>
    <xf numFmtId="43" fontId="18" fillId="2" borderId="56" xfId="1" applyFont="1" applyFill="1" applyBorder="1" applyAlignment="1">
      <alignment horizontal="center" vertical="center" readingOrder="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7" fillId="2" borderId="30" xfId="0" applyFont="1" applyFill="1" applyBorder="1" applyAlignment="1">
      <alignment horizontal="center" vertical="center"/>
    </xf>
    <xf numFmtId="0" fontId="7" fillId="14" borderId="2" xfId="0" applyFont="1" applyFill="1" applyBorder="1" applyAlignment="1">
      <alignment horizontal="justify" vertical="center" wrapText="1"/>
    </xf>
    <xf numFmtId="0" fontId="7" fillId="2" borderId="67" xfId="0" applyFont="1" applyFill="1" applyBorder="1" applyAlignment="1">
      <alignment horizontal="justify" vertical="center" wrapText="1"/>
    </xf>
    <xf numFmtId="0" fontId="7" fillId="2" borderId="24" xfId="0" applyFont="1" applyFill="1" applyBorder="1" applyAlignment="1">
      <alignment horizontal="center" vertical="center" wrapText="1"/>
    </xf>
    <xf numFmtId="0" fontId="7" fillId="2" borderId="3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6" xfId="0" applyFont="1" applyFill="1" applyBorder="1" applyAlignment="1">
      <alignment horizontal="justify" vertical="center" wrapText="1"/>
    </xf>
    <xf numFmtId="0" fontId="7" fillId="14" borderId="17" xfId="0" applyFont="1" applyFill="1" applyBorder="1" applyAlignment="1">
      <alignment horizontal="center" vertical="center" wrapText="1"/>
    </xf>
    <xf numFmtId="0" fontId="7" fillId="14" borderId="29" xfId="0" applyFont="1" applyFill="1" applyBorder="1" applyAlignment="1">
      <alignment horizontal="justify" vertical="center" wrapText="1"/>
    </xf>
    <xf numFmtId="9" fontId="7" fillId="2" borderId="38" xfId="3" applyFont="1" applyFill="1" applyBorder="1" applyAlignment="1">
      <alignment horizontal="center" vertical="center" wrapText="1"/>
    </xf>
    <xf numFmtId="9" fontId="7" fillId="2" borderId="26" xfId="3" applyFont="1" applyFill="1" applyBorder="1" applyAlignment="1">
      <alignment horizontal="center" vertical="center" wrapText="1"/>
    </xf>
    <xf numFmtId="9" fontId="7" fillId="2" borderId="24" xfId="3" applyFont="1" applyFill="1" applyBorder="1" applyAlignment="1">
      <alignment horizontal="center" vertical="center" wrapText="1"/>
    </xf>
    <xf numFmtId="173" fontId="7" fillId="2" borderId="42" xfId="7" applyFont="1" applyFill="1" applyBorder="1" applyAlignment="1">
      <alignment horizontal="center" vertical="center" wrapText="1"/>
    </xf>
    <xf numFmtId="173" fontId="7" fillId="2" borderId="18" xfId="7" applyFont="1" applyFill="1" applyBorder="1" applyAlignment="1">
      <alignment horizontal="center" vertical="center" wrapText="1"/>
    </xf>
    <xf numFmtId="173" fontId="7" fillId="2" borderId="25" xfId="7" applyFont="1" applyFill="1" applyBorder="1" applyAlignment="1">
      <alignment horizontal="center" vertical="center" wrapText="1"/>
    </xf>
    <xf numFmtId="0" fontId="7" fillId="2" borderId="17" xfId="0" applyFont="1" applyFill="1" applyBorder="1" applyAlignment="1">
      <alignment horizontal="justify" vertical="center"/>
    </xf>
    <xf numFmtId="173" fontId="7" fillId="2" borderId="17" xfId="7" applyFont="1" applyFill="1" applyBorder="1" applyAlignment="1">
      <alignment horizontal="center" vertical="center" wrapText="1"/>
    </xf>
    <xf numFmtId="0" fontId="7" fillId="2" borderId="72"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0" xfId="0" applyFont="1" applyFill="1" applyBorder="1" applyAlignment="1">
      <alignment horizontal="center" vertical="center"/>
    </xf>
    <xf numFmtId="14" fontId="7" fillId="2" borderId="38" xfId="0" applyNumberFormat="1" applyFont="1" applyFill="1" applyBorder="1" applyAlignment="1">
      <alignment horizontal="justify" vertical="center"/>
    </xf>
    <xf numFmtId="0" fontId="7" fillId="2" borderId="26" xfId="0" applyFont="1" applyFill="1" applyBorder="1" applyAlignment="1">
      <alignment horizontal="justify" vertical="center"/>
    </xf>
    <xf numFmtId="0" fontId="7" fillId="2" borderId="24" xfId="0" applyFont="1" applyFill="1" applyBorder="1" applyAlignment="1">
      <alignment horizontal="justify" vertical="center"/>
    </xf>
    <xf numFmtId="3" fontId="28" fillId="4" borderId="10" xfId="0" applyNumberFormat="1" applyFont="1" applyFill="1" applyBorder="1" applyAlignment="1">
      <alignment horizontal="center" vertical="center" wrapText="1"/>
    </xf>
    <xf numFmtId="3" fontId="28" fillId="4" borderId="11" xfId="0" applyNumberFormat="1"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10" xfId="0" applyFont="1" applyFill="1" applyBorder="1" applyAlignment="1">
      <alignment horizontal="center" vertical="center"/>
    </xf>
    <xf numFmtId="0" fontId="28" fillId="4" borderId="11" xfId="0" applyFont="1" applyFill="1" applyBorder="1" applyAlignment="1">
      <alignment horizontal="center" vertical="center"/>
    </xf>
    <xf numFmtId="170" fontId="7" fillId="0" borderId="2" xfId="6"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14" fontId="7" fillId="0" borderId="9" xfId="6" applyNumberFormat="1" applyFont="1" applyFill="1" applyBorder="1" applyAlignment="1">
      <alignment horizontal="center" vertical="center" wrapText="1"/>
    </xf>
    <xf numFmtId="14" fontId="7" fillId="0" borderId="14" xfId="6" applyNumberFormat="1" applyFont="1" applyFill="1" applyBorder="1" applyAlignment="1">
      <alignment horizontal="center" vertical="center" wrapText="1"/>
    </xf>
    <xf numFmtId="14" fontId="7" fillId="0" borderId="15" xfId="6" applyNumberFormat="1" applyFont="1" applyFill="1" applyBorder="1" applyAlignment="1">
      <alignment horizontal="center" vertical="center" wrapText="1"/>
    </xf>
    <xf numFmtId="170" fontId="7" fillId="0" borderId="9" xfId="6" applyFont="1" applyFill="1" applyBorder="1" applyAlignment="1">
      <alignment horizontal="center" vertical="center" wrapText="1"/>
    </xf>
    <xf numFmtId="170" fontId="7" fillId="0" borderId="14" xfId="6" applyFont="1" applyFill="1" applyBorder="1" applyAlignment="1">
      <alignment horizontal="center" vertical="center" wrapText="1"/>
    </xf>
    <xf numFmtId="170" fontId="7" fillId="0" borderId="15" xfId="6"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5" xfId="0" applyFont="1" applyFill="1" applyBorder="1" applyAlignment="1">
      <alignment horizontal="center" vertical="center" wrapText="1"/>
    </xf>
    <xf numFmtId="169" fontId="29" fillId="0" borderId="2" xfId="5" applyFont="1" applyFill="1" applyBorder="1" applyAlignment="1">
      <alignment horizontal="justify" vertical="center" wrapText="1"/>
    </xf>
    <xf numFmtId="0" fontId="26" fillId="0" borderId="2" xfId="0" applyFont="1" applyFill="1" applyBorder="1" applyAlignment="1">
      <alignment horizontal="justify" vertical="center" wrapText="1"/>
    </xf>
    <xf numFmtId="170" fontId="23" fillId="0" borderId="0" xfId="6" applyFont="1" applyFill="1" applyBorder="1" applyAlignment="1">
      <alignment horizontal="right" vertical="center" wrapText="1"/>
    </xf>
    <xf numFmtId="0" fontId="2" fillId="0" borderId="0" xfId="0" applyFont="1" applyFill="1" applyAlignment="1">
      <alignment horizontal="center" vertical="center"/>
    </xf>
    <xf numFmtId="9" fontId="3" fillId="0" borderId="9" xfId="3" applyFont="1" applyFill="1" applyBorder="1" applyAlignment="1">
      <alignment horizontal="justify" vertical="center" wrapText="1"/>
    </xf>
    <xf numFmtId="9" fontId="3" fillId="0" borderId="15" xfId="3" applyFont="1" applyFill="1" applyBorder="1" applyAlignment="1">
      <alignment horizontal="justify" vertical="center" wrapText="1"/>
    </xf>
    <xf numFmtId="0" fontId="31" fillId="0" borderId="0" xfId="0" applyFont="1" applyAlignment="1">
      <alignment horizontal="center"/>
    </xf>
    <xf numFmtId="49" fontId="3" fillId="2" borderId="9"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173" fontId="3" fillId="2" borderId="9" xfId="7" applyFont="1" applyFill="1" applyBorder="1" applyAlignment="1">
      <alignment horizontal="center" vertical="center"/>
    </xf>
    <xf numFmtId="167" fontId="2" fillId="12" borderId="8" xfId="0" applyNumberFormat="1" applyFont="1" applyFill="1" applyBorder="1" applyAlignment="1">
      <alignment horizontal="center" vertical="center" wrapText="1"/>
    </xf>
    <xf numFmtId="167" fontId="2" fillId="12" borderId="13" xfId="0" applyNumberFormat="1" applyFont="1" applyFill="1" applyBorder="1" applyAlignment="1">
      <alignment horizontal="center" vertical="center" wrapText="1"/>
    </xf>
    <xf numFmtId="3" fontId="2" fillId="12" borderId="9" xfId="0" applyNumberFormat="1" applyFont="1" applyFill="1" applyBorder="1" applyAlignment="1">
      <alignment horizontal="center" vertical="center" wrapText="1"/>
    </xf>
    <xf numFmtId="3" fontId="2" fillId="12" borderId="14" xfId="0" applyNumberFormat="1" applyFont="1" applyFill="1" applyBorder="1" applyAlignment="1">
      <alignment horizontal="center" vertical="center" wrapText="1"/>
    </xf>
    <xf numFmtId="0" fontId="3" fillId="0" borderId="5" xfId="0" applyFont="1" applyBorder="1" applyAlignment="1">
      <alignment horizontal="center"/>
    </xf>
    <xf numFmtId="0" fontId="32" fillId="0" borderId="38"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2" borderId="4" xfId="0" applyFont="1" applyFill="1" applyBorder="1" applyAlignment="1">
      <alignment horizontal="center" vertical="center" wrapText="1"/>
    </xf>
    <xf numFmtId="166" fontId="2" fillId="12" borderId="8" xfId="0" applyNumberFormat="1" applyFont="1" applyFill="1" applyBorder="1" applyAlignment="1">
      <alignment horizontal="center" vertical="center" wrapText="1"/>
    </xf>
    <xf numFmtId="166" fontId="2" fillId="12" borderId="13" xfId="0" applyNumberFormat="1"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2" borderId="13" xfId="0" applyFont="1" applyFill="1" applyBorder="1" applyAlignment="1">
      <alignment horizontal="center" vertical="center" wrapText="1"/>
    </xf>
    <xf numFmtId="166" fontId="2" fillId="12" borderId="9" xfId="0" applyNumberFormat="1" applyFont="1" applyFill="1" applyBorder="1" applyAlignment="1">
      <alignment horizontal="center" vertical="center" wrapText="1"/>
    </xf>
    <xf numFmtId="166" fontId="2" fillId="12" borderId="14" xfId="0" applyNumberFormat="1"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2" borderId="14" xfId="0" applyFont="1" applyFill="1" applyBorder="1" applyAlignment="1">
      <alignment horizontal="center" vertical="center" wrapText="1"/>
    </xf>
    <xf numFmtId="9" fontId="2" fillId="12" borderId="8" xfId="3" applyFont="1" applyFill="1" applyBorder="1" applyAlignment="1">
      <alignment horizontal="center" vertical="center" wrapText="1"/>
    </xf>
    <xf numFmtId="9" fontId="2" fillId="12" borderId="13" xfId="3" applyFont="1" applyFill="1" applyBorder="1" applyAlignment="1">
      <alignment horizontal="center" vertical="center" wrapText="1"/>
    </xf>
    <xf numFmtId="1" fontId="2" fillId="12" borderId="7" xfId="0" applyNumberFormat="1" applyFont="1" applyFill="1" applyBorder="1" applyAlignment="1">
      <alignment horizontal="center" vertical="center" wrapText="1"/>
    </xf>
    <xf numFmtId="1" fontId="2" fillId="12" borderId="1" xfId="0" applyNumberFormat="1"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 xfId="0" applyFont="1" applyBorder="1" applyAlignment="1">
      <alignment horizontal="right" vertical="center"/>
    </xf>
    <xf numFmtId="0" fontId="21" fillId="0" borderId="1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4" xfId="0" applyFont="1" applyBorder="1" applyAlignment="1">
      <alignment horizontal="center" vertical="center" wrapText="1"/>
    </xf>
    <xf numFmtId="0" fontId="6" fillId="3" borderId="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3" fontId="6" fillId="16" borderId="10" xfId="0" applyNumberFormat="1" applyFont="1" applyFill="1" applyBorder="1" applyAlignment="1">
      <alignment horizontal="center" vertical="center" wrapText="1"/>
    </xf>
    <xf numFmtId="3" fontId="6" fillId="16" borderId="11" xfId="0" applyNumberFormat="1" applyFont="1" applyFill="1" applyBorder="1" applyAlignment="1">
      <alignment horizontal="center" vertical="center" wrapText="1"/>
    </xf>
    <xf numFmtId="0" fontId="6" fillId="16" borderId="10"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16" borderId="2" xfId="0" applyFont="1" applyFill="1" applyBorder="1" applyAlignment="1">
      <alignment horizontal="center" vertical="center"/>
    </xf>
    <xf numFmtId="0" fontId="6" fillId="16" borderId="2" xfId="0" applyFont="1" applyFill="1" applyBorder="1" applyAlignment="1">
      <alignment horizontal="center" vertical="center" textRotation="90" wrapText="1"/>
    </xf>
    <xf numFmtId="3" fontId="6" fillId="3" borderId="10" xfId="0" applyNumberFormat="1" applyFont="1" applyFill="1" applyBorder="1" applyAlignment="1">
      <alignment horizontal="center" vertical="center" textRotation="90" wrapText="1"/>
    </xf>
    <xf numFmtId="0" fontId="6" fillId="3" borderId="10" xfId="0" applyFont="1" applyFill="1" applyBorder="1" applyAlignment="1">
      <alignment horizontal="center" vertical="center" textRotation="90" wrapText="1"/>
    </xf>
    <xf numFmtId="0" fontId="6" fillId="3" borderId="12" xfId="0" applyFont="1" applyFill="1" applyBorder="1" applyAlignment="1">
      <alignment horizontal="center" vertical="center" textRotation="90" wrapText="1"/>
    </xf>
    <xf numFmtId="0" fontId="6" fillId="3" borderId="2" xfId="0" applyFont="1" applyFill="1" applyBorder="1" applyAlignment="1">
      <alignment horizontal="center" vertical="center" textRotation="90"/>
    </xf>
    <xf numFmtId="0" fontId="6" fillId="17" borderId="8" xfId="0" applyFont="1" applyFill="1" applyBorder="1" applyAlignment="1">
      <alignment horizontal="left" vertical="center" wrapText="1"/>
    </xf>
    <xf numFmtId="0" fontId="6" fillId="17" borderId="5" xfId="0" applyFont="1" applyFill="1" applyBorder="1" applyAlignment="1">
      <alignment horizontal="left" vertical="center"/>
    </xf>
    <xf numFmtId="0" fontId="6" fillId="17" borderId="5" xfId="0" applyFont="1" applyFill="1" applyBorder="1" applyAlignment="1">
      <alignment horizontal="center" vertical="center"/>
    </xf>
    <xf numFmtId="0" fontId="6" fillId="17" borderId="11" xfId="0" applyFont="1" applyFill="1" applyBorder="1" applyAlignment="1">
      <alignment horizontal="justify" vertical="center" wrapText="1"/>
    </xf>
    <xf numFmtId="0" fontId="7" fillId="17" borderId="11" xfId="0" applyFont="1" applyFill="1" applyBorder="1" applyAlignment="1">
      <alignment horizontal="center" vertical="center"/>
    </xf>
    <xf numFmtId="0" fontId="7" fillId="17" borderId="11" xfId="0" applyFont="1" applyFill="1" applyBorder="1" applyAlignment="1">
      <alignment horizontal="justify" vertical="center" wrapText="1"/>
    </xf>
    <xf numFmtId="0" fontId="7" fillId="17" borderId="11" xfId="0" applyFont="1" applyFill="1" applyBorder="1" applyAlignment="1">
      <alignment horizontal="justify" vertical="center"/>
    </xf>
    <xf numFmtId="9" fontId="7" fillId="17" borderId="11" xfId="3" applyFont="1" applyFill="1" applyBorder="1" applyAlignment="1">
      <alignment horizontal="justify" vertical="center" wrapText="1"/>
    </xf>
    <xf numFmtId="0" fontId="7" fillId="17" borderId="11" xfId="0" applyFont="1" applyFill="1" applyBorder="1" applyAlignment="1">
      <alignment horizontal="center" vertical="center" wrapText="1"/>
    </xf>
    <xf numFmtId="164" fontId="7" fillId="17" borderId="11" xfId="0" applyNumberFormat="1" applyFont="1" applyFill="1" applyBorder="1" applyAlignment="1">
      <alignment horizontal="justify" vertical="center" wrapText="1"/>
    </xf>
    <xf numFmtId="164" fontId="7" fillId="17" borderId="11" xfId="0" applyNumberFormat="1" applyFont="1" applyFill="1" applyBorder="1" applyAlignment="1">
      <alignment horizontal="right" vertical="center"/>
    </xf>
    <xf numFmtId="0" fontId="7" fillId="17" borderId="3" xfId="0" applyFont="1" applyFill="1" applyBorder="1" applyAlignment="1">
      <alignment horizontal="center" vertical="center"/>
    </xf>
    <xf numFmtId="0" fontId="7" fillId="17" borderId="0" xfId="0" applyFont="1" applyFill="1" applyBorder="1" applyAlignment="1">
      <alignment horizontal="center" vertical="center"/>
    </xf>
    <xf numFmtId="0" fontId="7" fillId="17" borderId="4" xfId="0" applyFont="1" applyFill="1" applyBorder="1" applyAlignment="1">
      <alignment horizontal="center" vertical="center"/>
    </xf>
    <xf numFmtId="0" fontId="6" fillId="0" borderId="2" xfId="0" applyFont="1" applyFill="1" applyBorder="1" applyAlignment="1">
      <alignment horizontal="center" vertical="center" wrapText="1"/>
    </xf>
    <xf numFmtId="43" fontId="6" fillId="6" borderId="11" xfId="16" applyFont="1" applyFill="1" applyBorder="1" applyAlignment="1">
      <alignment horizontal="justify" vertical="center"/>
    </xf>
    <xf numFmtId="9" fontId="6" fillId="6" borderId="11" xfId="3" applyFont="1" applyFill="1" applyBorder="1" applyAlignment="1">
      <alignment horizontal="justify" vertical="center" wrapText="1"/>
    </xf>
    <xf numFmtId="43" fontId="6" fillId="6" borderId="11" xfId="16" applyFont="1" applyFill="1" applyBorder="1" applyAlignment="1">
      <alignment horizontal="center" vertical="center"/>
    </xf>
    <xf numFmtId="43" fontId="6" fillId="6" borderId="11" xfId="16" applyFont="1" applyFill="1" applyBorder="1" applyAlignment="1">
      <alignment horizontal="center" vertical="center" wrapText="1"/>
    </xf>
    <xf numFmtId="43" fontId="6" fillId="6" borderId="11" xfId="16" applyFont="1" applyFill="1" applyBorder="1" applyAlignment="1">
      <alignment horizontal="justify" vertical="center" wrapText="1"/>
    </xf>
    <xf numFmtId="164" fontId="6" fillId="6" borderId="11" xfId="0" applyNumberFormat="1" applyFont="1" applyFill="1" applyBorder="1" applyAlignment="1">
      <alignment horizontal="justify" vertical="center" wrapText="1"/>
    </xf>
    <xf numFmtId="164" fontId="6" fillId="6" borderId="11" xfId="0" applyNumberFormat="1" applyFont="1" applyFill="1" applyBorder="1" applyAlignment="1">
      <alignment horizontal="right" vertical="center" wrapText="1"/>
    </xf>
    <xf numFmtId="43" fontId="7" fillId="6" borderId="5" xfId="16" applyFont="1" applyFill="1" applyBorder="1" applyAlignment="1">
      <alignment horizontal="center" vertical="center"/>
    </xf>
    <xf numFmtId="43" fontId="6" fillId="6" borderId="3" xfId="16" applyFont="1" applyFill="1" applyBorder="1" applyAlignment="1">
      <alignment horizontal="center" vertical="center"/>
    </xf>
    <xf numFmtId="43" fontId="6" fillId="6" borderId="12" xfId="16" applyFont="1" applyFill="1" applyBorder="1" applyAlignment="1">
      <alignment horizontal="center" vertical="center"/>
    </xf>
    <xf numFmtId="173" fontId="7" fillId="0" borderId="11" xfId="20" applyNumberFormat="1" applyFont="1" applyFill="1" applyBorder="1" applyAlignment="1">
      <alignment horizontal="right" vertical="center"/>
    </xf>
    <xf numFmtId="49" fontId="3" fillId="0" borderId="2" xfId="16" applyNumberFormat="1" applyFont="1" applyFill="1" applyBorder="1" applyAlignment="1">
      <alignment horizontal="center" vertical="center" wrapText="1"/>
    </xf>
    <xf numFmtId="0" fontId="44" fillId="0" borderId="30" xfId="0" applyFont="1" applyFill="1" applyBorder="1" applyAlignment="1">
      <alignment vertical="center" wrapText="1"/>
    </xf>
    <xf numFmtId="14" fontId="7" fillId="0" borderId="14" xfId="0" applyNumberFormat="1" applyFont="1" applyFill="1" applyBorder="1" applyAlignment="1">
      <alignment horizontal="center" vertical="center"/>
    </xf>
    <xf numFmtId="0" fontId="7" fillId="0" borderId="9" xfId="0" applyFont="1" applyFill="1" applyBorder="1" applyAlignment="1">
      <alignment horizontal="justify" vertical="center"/>
    </xf>
    <xf numFmtId="0" fontId="7" fillId="0" borderId="14" xfId="0" applyFont="1" applyFill="1" applyBorder="1" applyAlignment="1">
      <alignment horizontal="justify" vertical="center"/>
    </xf>
    <xf numFmtId="0" fontId="44" fillId="0" borderId="42" xfId="0" applyFont="1" applyFill="1" applyBorder="1" applyAlignment="1">
      <alignment vertical="center" wrapText="1"/>
    </xf>
    <xf numFmtId="0" fontId="7" fillId="0" borderId="15" xfId="0" applyFont="1" applyFill="1" applyBorder="1" applyAlignment="1">
      <alignment horizontal="justify" vertical="center"/>
    </xf>
    <xf numFmtId="173" fontId="7" fillId="0" borderId="29" xfId="20" applyNumberFormat="1" applyFont="1" applyFill="1" applyBorder="1" applyAlignment="1">
      <alignment horizontal="right" vertical="center"/>
    </xf>
    <xf numFmtId="174" fontId="7" fillId="0" borderId="30" xfId="20" applyNumberFormat="1" applyFont="1" applyFill="1" applyBorder="1" applyAlignment="1">
      <alignment vertical="center" wrapText="1"/>
    </xf>
    <xf numFmtId="173" fontId="7" fillId="0" borderId="29" xfId="22" applyNumberFormat="1" applyFont="1" applyFill="1" applyBorder="1" applyAlignment="1">
      <alignment horizontal="right" vertical="center"/>
    </xf>
    <xf numFmtId="173" fontId="7" fillId="0" borderId="39" xfId="20" applyNumberFormat="1" applyFont="1" applyFill="1" applyBorder="1" applyAlignment="1">
      <alignment horizontal="right" vertical="center"/>
    </xf>
    <xf numFmtId="174" fontId="7" fillId="0" borderId="25" xfId="20" applyNumberFormat="1" applyFont="1" applyFill="1" applyBorder="1" applyAlignment="1">
      <alignment vertical="center" wrapText="1"/>
    </xf>
    <xf numFmtId="173" fontId="3" fillId="0" borderId="29" xfId="0" applyNumberFormat="1" applyFont="1" applyFill="1" applyBorder="1" applyAlignment="1">
      <alignment horizontal="right" vertical="center"/>
    </xf>
    <xf numFmtId="173" fontId="7" fillId="0" borderId="23" xfId="20" applyNumberFormat="1" applyFont="1" applyFill="1" applyBorder="1" applyAlignment="1">
      <alignment horizontal="right" vertical="center"/>
    </xf>
    <xf numFmtId="0" fontId="7" fillId="0" borderId="67" xfId="0" applyFont="1" applyFill="1" applyBorder="1" applyAlignment="1">
      <alignment horizontal="center" vertical="center" wrapText="1"/>
    </xf>
    <xf numFmtId="0" fontId="7" fillId="0" borderId="73" xfId="0" applyFont="1" applyFill="1" applyBorder="1" applyAlignment="1">
      <alignment horizontal="center" vertical="center" wrapText="1"/>
    </xf>
    <xf numFmtId="173" fontId="7" fillId="0" borderId="29" xfId="0" applyNumberFormat="1" applyFont="1" applyFill="1" applyBorder="1" applyAlignment="1">
      <alignment horizontal="right" vertical="center" wrapText="1"/>
    </xf>
    <xf numFmtId="173" fontId="7" fillId="0" borderId="39" xfId="0" applyNumberFormat="1" applyFont="1" applyFill="1" applyBorder="1" applyAlignment="1">
      <alignment horizontal="right" vertical="center" wrapText="1"/>
    </xf>
    <xf numFmtId="0" fontId="16" fillId="0" borderId="2" xfId="0" applyFont="1" applyFill="1" applyBorder="1" applyAlignment="1">
      <alignment horizontal="center" vertical="center"/>
    </xf>
    <xf numFmtId="9" fontId="7" fillId="0" borderId="7" xfId="3" applyFont="1" applyFill="1" applyBorder="1" applyAlignment="1">
      <alignment horizontal="center" vertical="center" wrapText="1"/>
    </xf>
    <xf numFmtId="0" fontId="44" fillId="0" borderId="25" xfId="0" applyFont="1" applyFill="1" applyBorder="1" applyAlignment="1">
      <alignment vertical="center" wrapText="1"/>
    </xf>
    <xf numFmtId="0" fontId="3" fillId="0" borderId="9" xfId="0" applyFont="1" applyFill="1" applyBorder="1" applyAlignment="1">
      <alignment horizontal="justify" vertical="center"/>
    </xf>
    <xf numFmtId="0" fontId="16" fillId="0" borderId="0" xfId="0" applyFont="1" applyFill="1"/>
    <xf numFmtId="9" fontId="7" fillId="0" borderId="1" xfId="3" applyFont="1" applyFill="1" applyBorder="1" applyAlignment="1">
      <alignment horizontal="center" vertical="center" wrapText="1"/>
    </xf>
    <xf numFmtId="0" fontId="3" fillId="0" borderId="14" xfId="0" applyFont="1" applyFill="1" applyBorder="1" applyAlignment="1">
      <alignment horizontal="justify" vertical="center"/>
    </xf>
    <xf numFmtId="9" fontId="7" fillId="0" borderId="4" xfId="3" applyFont="1" applyFill="1" applyBorder="1" applyAlignment="1">
      <alignment horizontal="center" vertical="center" wrapText="1"/>
    </xf>
    <xf numFmtId="0" fontId="3" fillId="0" borderId="15" xfId="0" applyFont="1" applyFill="1" applyBorder="1" applyAlignment="1">
      <alignment horizontal="justify" vertical="center"/>
    </xf>
    <xf numFmtId="0" fontId="7" fillId="0" borderId="72" xfId="0" applyFont="1" applyFill="1" applyBorder="1" applyAlignment="1">
      <alignment horizontal="center" vertical="center" wrapText="1"/>
    </xf>
    <xf numFmtId="9" fontId="7" fillId="0" borderId="12" xfId="3" applyFont="1" applyFill="1" applyBorder="1" applyAlignment="1">
      <alignment horizontal="center" vertical="center" wrapText="1"/>
    </xf>
    <xf numFmtId="0" fontId="3" fillId="0" borderId="2" xfId="18" applyFont="1" applyFill="1" applyBorder="1" applyAlignment="1">
      <alignment horizontal="justify" vertical="center" wrapText="1"/>
    </xf>
    <xf numFmtId="173" fontId="7" fillId="0" borderId="29" xfId="16" applyNumberFormat="1" applyFont="1" applyFill="1" applyBorder="1" applyAlignment="1">
      <alignment horizontal="right" vertical="center"/>
    </xf>
    <xf numFmtId="43" fontId="3" fillId="0" borderId="30" xfId="16" applyFont="1" applyFill="1" applyBorder="1" applyAlignment="1">
      <alignment vertical="center" wrapText="1"/>
    </xf>
    <xf numFmtId="173" fontId="7" fillId="0" borderId="39" xfId="16" applyNumberFormat="1" applyFont="1" applyFill="1" applyBorder="1" applyAlignment="1">
      <alignment horizontal="right" vertical="center"/>
    </xf>
    <xf numFmtId="0" fontId="3" fillId="0" borderId="36" xfId="0" applyFont="1" applyFill="1" applyBorder="1" applyAlignment="1">
      <alignment horizontal="justify" vertical="center" wrapText="1"/>
    </xf>
    <xf numFmtId="0" fontId="7" fillId="0" borderId="51" xfId="0" applyFont="1" applyFill="1" applyBorder="1" applyAlignment="1">
      <alignment horizontal="justify" vertical="center" wrapText="1"/>
    </xf>
    <xf numFmtId="173" fontId="7" fillId="0" borderId="2" xfId="16" applyNumberFormat="1" applyFont="1" applyFill="1" applyBorder="1" applyAlignment="1">
      <alignment horizontal="right" vertical="center"/>
    </xf>
    <xf numFmtId="0" fontId="3" fillId="0" borderId="37" xfId="0" applyFont="1" applyFill="1" applyBorder="1" applyAlignment="1">
      <alignment horizontal="justify" vertical="center" wrapText="1"/>
    </xf>
    <xf numFmtId="0" fontId="7" fillId="0" borderId="70" xfId="0" applyFont="1" applyFill="1" applyBorder="1" applyAlignment="1">
      <alignment horizontal="center" vertical="center" wrapText="1"/>
    </xf>
    <xf numFmtId="173" fontId="7" fillId="0" borderId="23" xfId="16" applyNumberFormat="1" applyFont="1" applyFill="1" applyBorder="1" applyAlignment="1">
      <alignment horizontal="right" vertical="center"/>
    </xf>
    <xf numFmtId="43" fontId="3" fillId="0" borderId="42" xfId="16" applyFont="1" applyFill="1" applyBorder="1" applyAlignment="1">
      <alignment vertical="center" wrapText="1"/>
    </xf>
    <xf numFmtId="49" fontId="3" fillId="0" borderId="2" xfId="21" applyNumberFormat="1" applyFont="1" applyFill="1" applyBorder="1" applyAlignment="1">
      <alignment horizontal="justify" vertical="center" wrapText="1"/>
    </xf>
    <xf numFmtId="173" fontId="7" fillId="0" borderId="10" xfId="16" applyNumberFormat="1" applyFont="1" applyFill="1" applyBorder="1" applyAlignment="1">
      <alignment horizontal="right" vertical="center"/>
    </xf>
    <xf numFmtId="14" fontId="3" fillId="0" borderId="7" xfId="18" applyNumberFormat="1" applyFont="1" applyFill="1" applyBorder="1" applyAlignment="1">
      <alignment horizontal="center" vertical="center" wrapText="1"/>
    </xf>
    <xf numFmtId="0" fontId="3" fillId="0" borderId="7" xfId="18" applyFont="1" applyFill="1" applyBorder="1" applyAlignment="1">
      <alignment horizontal="justify" vertical="center" wrapText="1"/>
    </xf>
    <xf numFmtId="0" fontId="3" fillId="0" borderId="1" xfId="18"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3" fillId="0" borderId="9" xfId="18" applyFont="1" applyFill="1" applyBorder="1" applyAlignment="1">
      <alignment horizontal="justify" vertical="center" wrapText="1"/>
    </xf>
    <xf numFmtId="173" fontId="7" fillId="0" borderId="29" xfId="16" applyNumberFormat="1" applyFont="1" applyFill="1" applyBorder="1" applyAlignment="1">
      <alignment horizontal="right" vertical="center" wrapText="1"/>
    </xf>
    <xf numFmtId="14" fontId="7" fillId="0" borderId="36" xfId="0" applyNumberFormat="1" applyFont="1" applyFill="1" applyBorder="1" applyAlignment="1">
      <alignment horizontal="center" vertical="center" wrapText="1"/>
    </xf>
    <xf numFmtId="0" fontId="3" fillId="0" borderId="14" xfId="18" applyFont="1" applyFill="1" applyBorder="1" applyAlignment="1">
      <alignment horizontal="justify" vertical="center" wrapText="1"/>
    </xf>
    <xf numFmtId="174" fontId="7" fillId="0" borderId="42" xfId="20" applyNumberFormat="1" applyFont="1" applyFill="1" applyBorder="1" applyAlignment="1">
      <alignment vertical="center" wrapText="1"/>
    </xf>
    <xf numFmtId="0" fontId="7" fillId="0" borderId="72" xfId="0" applyFont="1" applyFill="1" applyBorder="1" applyAlignment="1">
      <alignment horizontal="center" vertical="center" wrapText="1"/>
    </xf>
    <xf numFmtId="173" fontId="7" fillId="0" borderId="11" xfId="16" applyNumberFormat="1" applyFont="1" applyFill="1" applyBorder="1" applyAlignment="1">
      <alignment horizontal="right" vertical="center" wrapText="1"/>
    </xf>
    <xf numFmtId="14" fontId="7" fillId="0" borderId="7" xfId="0" applyNumberFormat="1" applyFont="1" applyFill="1" applyBorder="1" applyAlignment="1">
      <alignment horizontal="center" vertical="center" wrapText="1"/>
    </xf>
    <xf numFmtId="0" fontId="7" fillId="0" borderId="70" xfId="0" applyFont="1" applyFill="1" applyBorder="1" applyAlignment="1">
      <alignment horizontal="center" vertical="center" wrapText="1"/>
    </xf>
    <xf numFmtId="173" fontId="7" fillId="0" borderId="5" xfId="16" applyNumberFormat="1" applyFont="1" applyFill="1" applyBorder="1" applyAlignment="1">
      <alignment horizontal="right" vertical="center" wrapText="1"/>
    </xf>
    <xf numFmtId="0" fontId="16" fillId="0" borderId="2" xfId="0" applyFont="1" applyFill="1" applyBorder="1" applyAlignment="1">
      <alignment horizontal="center" vertical="center"/>
    </xf>
    <xf numFmtId="173" fontId="7" fillId="0" borderId="10" xfId="16" applyNumberFormat="1" applyFont="1" applyFill="1" applyBorder="1" applyAlignment="1">
      <alignment horizontal="right" vertical="center" wrapText="1"/>
    </xf>
    <xf numFmtId="0" fontId="3" fillId="0" borderId="2" xfId="0" applyFont="1" applyFill="1" applyBorder="1" applyAlignment="1">
      <alignment vertical="center" wrapText="1"/>
    </xf>
    <xf numFmtId="173" fontId="7" fillId="0" borderId="3" xfId="16" applyNumberFormat="1" applyFont="1" applyFill="1" applyBorder="1" applyAlignment="1">
      <alignment horizontal="right" vertical="center" wrapText="1"/>
    </xf>
    <xf numFmtId="0" fontId="3" fillId="0" borderId="41" xfId="0" applyFont="1" applyFill="1" applyBorder="1" applyAlignment="1">
      <alignment horizontal="justify" vertical="center" wrapText="1"/>
    </xf>
    <xf numFmtId="9" fontId="7" fillId="0" borderId="26" xfId="3" applyFont="1" applyFill="1" applyBorder="1" applyAlignment="1">
      <alignment horizontal="center" vertical="center" wrapText="1"/>
    </xf>
    <xf numFmtId="4" fontId="7" fillId="0" borderId="24" xfId="0" applyNumberFormat="1" applyFont="1" applyFill="1" applyBorder="1" applyAlignment="1">
      <alignment horizontal="right" vertical="center" wrapText="1"/>
    </xf>
    <xf numFmtId="173" fontId="7" fillId="0" borderId="10" xfId="0" applyNumberFormat="1" applyFont="1" applyFill="1" applyBorder="1" applyAlignment="1">
      <alignment horizontal="right" vertical="center"/>
    </xf>
    <xf numFmtId="0" fontId="7" fillId="0" borderId="17" xfId="0" applyFont="1" applyFill="1" applyBorder="1" applyAlignment="1">
      <alignment horizontal="right" vertical="center" wrapText="1"/>
    </xf>
    <xf numFmtId="0" fontId="3" fillId="0" borderId="15" xfId="18" applyFont="1" applyFill="1" applyBorder="1" applyAlignment="1">
      <alignment horizontal="justify" vertical="center" wrapText="1"/>
    </xf>
    <xf numFmtId="43" fontId="6" fillId="6" borderId="3" xfId="16" applyFont="1" applyFill="1" applyBorder="1" applyAlignment="1">
      <alignment horizontal="justify" vertical="center" wrapText="1"/>
    </xf>
    <xf numFmtId="173" fontId="6" fillId="6" borderId="11" xfId="0" applyNumberFormat="1" applyFont="1" applyFill="1" applyBorder="1" applyAlignment="1">
      <alignment horizontal="right" vertical="center" wrapText="1"/>
    </xf>
    <xf numFmtId="49" fontId="6" fillId="6" borderId="2" xfId="16" applyNumberFormat="1" applyFont="1" applyFill="1" applyBorder="1" applyAlignment="1">
      <alignment horizontal="center" vertical="center" wrapText="1"/>
    </xf>
    <xf numFmtId="43" fontId="7" fillId="6" borderId="5" xfId="16" applyFont="1" applyFill="1" applyBorder="1" applyAlignment="1">
      <alignment vertical="center" wrapText="1"/>
    </xf>
    <xf numFmtId="0" fontId="7" fillId="6" borderId="12" xfId="0" applyFont="1" applyFill="1" applyBorder="1" applyAlignment="1">
      <alignment horizontal="justify" vertical="center"/>
    </xf>
    <xf numFmtId="0" fontId="3" fillId="0" borderId="2" xfId="0" applyFont="1" applyFill="1" applyBorder="1" applyAlignment="1">
      <alignment horizontal="center"/>
    </xf>
    <xf numFmtId="49" fontId="3" fillId="0" borderId="2" xfId="0" applyNumberFormat="1" applyFont="1" applyFill="1" applyBorder="1" applyAlignment="1">
      <alignment horizontal="center" vertical="center" wrapText="1"/>
    </xf>
    <xf numFmtId="0" fontId="7" fillId="0" borderId="5" xfId="0" applyFont="1" applyFill="1" applyBorder="1" applyAlignment="1">
      <alignment horizontal="justify" vertical="center" wrapText="1"/>
    </xf>
    <xf numFmtId="9" fontId="7" fillId="0" borderId="8" xfId="3"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51" xfId="0" applyFont="1" applyFill="1" applyBorder="1" applyAlignment="1">
      <alignment horizontal="justify" vertical="center" wrapText="1"/>
    </xf>
    <xf numFmtId="0" fontId="7" fillId="0" borderId="57" xfId="0" applyFont="1" applyFill="1" applyBorder="1" applyAlignment="1">
      <alignment horizontal="justify" vertical="center" wrapText="1"/>
    </xf>
    <xf numFmtId="174" fontId="7" fillId="0" borderId="2" xfId="20" applyNumberFormat="1" applyFont="1" applyFill="1" applyBorder="1" applyAlignment="1">
      <alignment vertical="center" wrapText="1"/>
    </xf>
    <xf numFmtId="0" fontId="3" fillId="0" borderId="24" xfId="0" applyFont="1" applyFill="1" applyBorder="1" applyAlignment="1">
      <alignment horizontal="justify" vertical="center" wrapText="1"/>
    </xf>
    <xf numFmtId="173" fontId="3" fillId="0" borderId="41" xfId="0" applyNumberFormat="1" applyFont="1" applyFill="1" applyBorder="1" applyAlignment="1">
      <alignment horizontal="right" vertical="center"/>
    </xf>
    <xf numFmtId="0" fontId="3" fillId="0" borderId="42" xfId="0" applyFont="1" applyFill="1" applyBorder="1" applyAlignment="1">
      <alignment vertical="center" wrapText="1"/>
    </xf>
    <xf numFmtId="49" fontId="3" fillId="0" borderId="30" xfId="0" applyNumberFormat="1" applyFont="1" applyFill="1" applyBorder="1" applyAlignment="1">
      <alignment vertical="center" wrapText="1"/>
    </xf>
    <xf numFmtId="0" fontId="7" fillId="0" borderId="58" xfId="0" applyFont="1" applyFill="1" applyBorder="1" applyAlignment="1">
      <alignment horizontal="center" vertical="center"/>
    </xf>
    <xf numFmtId="9" fontId="7" fillId="0" borderId="57" xfId="3" applyFont="1" applyFill="1" applyBorder="1" applyAlignment="1">
      <alignment horizontal="center" vertical="center" wrapText="1"/>
    </xf>
    <xf numFmtId="0" fontId="7" fillId="0" borderId="1" xfId="0" applyFont="1" applyFill="1" applyBorder="1" applyAlignment="1">
      <alignment horizontal="center" vertical="center"/>
    </xf>
    <xf numFmtId="9" fontId="7" fillId="0" borderId="0" xfId="3"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justify" vertical="center" wrapText="1"/>
    </xf>
    <xf numFmtId="173" fontId="7" fillId="0" borderId="23" xfId="0" applyNumberFormat="1" applyFont="1" applyFill="1" applyBorder="1" applyAlignment="1">
      <alignment horizontal="right" vertical="center" wrapText="1"/>
    </xf>
    <xf numFmtId="173" fontId="3" fillId="0" borderId="56" xfId="0" applyNumberFormat="1" applyFont="1" applyFill="1" applyBorder="1" applyAlignment="1">
      <alignment horizontal="right" vertical="center"/>
    </xf>
    <xf numFmtId="0" fontId="3" fillId="0" borderId="30" xfId="0" applyFont="1" applyFill="1" applyBorder="1" applyAlignment="1">
      <alignment vertical="center" wrapText="1"/>
    </xf>
    <xf numFmtId="173" fontId="3" fillId="0" borderId="51" xfId="0" applyNumberFormat="1" applyFont="1" applyFill="1" applyBorder="1" applyAlignment="1">
      <alignment horizontal="right" vertical="center"/>
    </xf>
    <xf numFmtId="9" fontId="7" fillId="0" borderId="59" xfId="3" applyFont="1" applyFill="1" applyBorder="1" applyAlignment="1">
      <alignment horizontal="center" vertical="center" wrapText="1"/>
    </xf>
    <xf numFmtId="173" fontId="7" fillId="0" borderId="15" xfId="0" applyNumberFormat="1" applyFont="1" applyFill="1" applyBorder="1" applyAlignment="1">
      <alignment horizontal="center" vertical="center" wrapText="1"/>
    </xf>
    <xf numFmtId="173" fontId="7" fillId="0" borderId="6" xfId="0" applyNumberFormat="1" applyFont="1" applyFill="1" applyBorder="1" applyAlignment="1">
      <alignment horizontal="right" vertical="center" wrapText="1"/>
    </xf>
    <xf numFmtId="173" fontId="7" fillId="0" borderId="8" xfId="0" applyNumberFormat="1" applyFont="1" applyFill="1" applyBorder="1" applyAlignment="1">
      <alignment horizontal="right" vertical="center" wrapText="1"/>
    </xf>
    <xf numFmtId="49" fontId="7" fillId="0" borderId="9" xfId="20" applyNumberFormat="1" applyFont="1" applyFill="1" applyBorder="1" applyAlignment="1">
      <alignment horizontal="justify" vertical="center" wrapText="1"/>
    </xf>
    <xf numFmtId="173" fontId="7" fillId="0" borderId="6" xfId="20" applyNumberFormat="1" applyFont="1" applyFill="1" applyBorder="1" applyAlignment="1">
      <alignment horizontal="right" vertical="center"/>
    </xf>
    <xf numFmtId="49" fontId="7" fillId="0" borderId="4" xfId="20" applyNumberFormat="1" applyFont="1" applyFill="1" applyBorder="1" applyAlignment="1">
      <alignment vertical="center" wrapText="1"/>
    </xf>
    <xf numFmtId="49" fontId="7" fillId="0" borderId="14" xfId="20" applyNumberFormat="1" applyFont="1" applyFill="1" applyBorder="1" applyAlignment="1">
      <alignment horizontal="justify" vertical="center" wrapText="1"/>
    </xf>
    <xf numFmtId="49" fontId="7" fillId="0" borderId="12" xfId="20" applyNumberFormat="1" applyFont="1" applyFill="1" applyBorder="1" applyAlignment="1">
      <alignment vertical="center" wrapText="1"/>
    </xf>
    <xf numFmtId="173" fontId="7" fillId="0" borderId="10" xfId="20" applyNumberFormat="1" applyFont="1" applyFill="1" applyBorder="1" applyAlignment="1">
      <alignment horizontal="right" vertical="center"/>
    </xf>
    <xf numFmtId="49" fontId="7" fillId="0" borderId="2" xfId="0" applyNumberFormat="1" applyFont="1" applyFill="1" applyBorder="1" applyAlignment="1">
      <alignment horizontal="center" vertical="center" wrapText="1"/>
    </xf>
    <xf numFmtId="49" fontId="7" fillId="0" borderId="7" xfId="20" applyNumberFormat="1" applyFont="1" applyFill="1" applyBorder="1" applyAlignment="1">
      <alignment vertical="center" wrapText="1"/>
    </xf>
    <xf numFmtId="49" fontId="7" fillId="0" borderId="15" xfId="20" applyNumberFormat="1" applyFont="1" applyFill="1" applyBorder="1" applyAlignment="1">
      <alignment horizontal="justify" vertical="center" wrapText="1"/>
    </xf>
    <xf numFmtId="0" fontId="7" fillId="0" borderId="59" xfId="0" applyFont="1" applyFill="1" applyBorder="1" applyAlignment="1">
      <alignment horizontal="justify" vertical="center" wrapText="1"/>
    </xf>
    <xf numFmtId="9" fontId="7" fillId="0" borderId="58" xfId="3" applyFont="1" applyFill="1" applyBorder="1" applyAlignment="1">
      <alignment horizontal="center" vertical="center" wrapText="1"/>
    </xf>
    <xf numFmtId="0" fontId="7" fillId="0" borderId="9" xfId="18" applyFont="1" applyFill="1" applyBorder="1" applyAlignment="1">
      <alignment horizontal="justify" vertical="center" wrapText="1"/>
    </xf>
    <xf numFmtId="0" fontId="7" fillId="0" borderId="14" xfId="18" applyFont="1" applyFill="1" applyBorder="1" applyAlignment="1">
      <alignment horizontal="justify" vertical="center" wrapText="1"/>
    </xf>
    <xf numFmtId="173" fontId="7" fillId="0" borderId="10" xfId="7" applyFont="1" applyFill="1" applyBorder="1" applyAlignment="1">
      <alignment horizontal="right" vertical="center"/>
    </xf>
    <xf numFmtId="49" fontId="7" fillId="0" borderId="30" xfId="20" applyNumberFormat="1" applyFont="1" applyFill="1" applyBorder="1" applyAlignment="1">
      <alignment vertical="center" wrapText="1"/>
    </xf>
    <xf numFmtId="0" fontId="7" fillId="0" borderId="13" xfId="18" applyFont="1" applyFill="1" applyBorder="1" applyAlignment="1">
      <alignment horizontal="justify" vertical="center" wrapText="1"/>
    </xf>
    <xf numFmtId="173" fontId="7" fillId="0" borderId="11" xfId="7" applyFont="1" applyFill="1" applyBorder="1" applyAlignment="1">
      <alignment horizontal="right" vertical="center"/>
    </xf>
    <xf numFmtId="173" fontId="7" fillId="0" borderId="8" xfId="7" applyFont="1" applyFill="1" applyBorder="1" applyAlignment="1">
      <alignment horizontal="right" vertical="center" wrapText="1"/>
    </xf>
    <xf numFmtId="3" fontId="3" fillId="0" borderId="7" xfId="0" applyNumberFormat="1" applyFont="1" applyFill="1" applyBorder="1" applyAlignment="1">
      <alignment horizontal="justify" vertical="center"/>
    </xf>
    <xf numFmtId="3" fontId="3" fillId="0" borderId="1" xfId="0" applyNumberFormat="1" applyFont="1" applyFill="1" applyBorder="1" applyAlignment="1">
      <alignment horizontal="justify" vertical="center"/>
    </xf>
    <xf numFmtId="174" fontId="7" fillId="0" borderId="18" xfId="20" applyNumberFormat="1" applyFont="1" applyFill="1" applyBorder="1" applyAlignment="1">
      <alignment vertical="center" wrapText="1"/>
    </xf>
    <xf numFmtId="3" fontId="3" fillId="0" borderId="4" xfId="0" applyNumberFormat="1" applyFont="1" applyFill="1" applyBorder="1" applyAlignment="1">
      <alignment horizontal="justify" vertical="center"/>
    </xf>
    <xf numFmtId="0" fontId="3" fillId="0" borderId="30" xfId="0" applyFont="1" applyFill="1" applyBorder="1" applyAlignment="1">
      <alignment horizontal="center" vertical="center" wrapText="1"/>
    </xf>
    <xf numFmtId="173" fontId="7" fillId="0" borderId="6" xfId="16" applyNumberFormat="1" applyFont="1" applyFill="1" applyBorder="1" applyAlignment="1">
      <alignment horizontal="right" vertical="center" wrapText="1"/>
    </xf>
    <xf numFmtId="0" fontId="18" fillId="0" borderId="30" xfId="0" applyFont="1" applyFill="1" applyBorder="1" applyAlignment="1">
      <alignment vertical="center" wrapText="1"/>
    </xf>
    <xf numFmtId="0" fontId="18" fillId="0" borderId="42" xfId="0" applyFont="1" applyFill="1" applyBorder="1" applyAlignment="1">
      <alignment vertical="center" wrapText="1"/>
    </xf>
    <xf numFmtId="173" fontId="7" fillId="0" borderId="8" xfId="20" applyNumberFormat="1" applyFont="1" applyFill="1" applyBorder="1" applyAlignment="1">
      <alignment horizontal="right" vertical="center"/>
    </xf>
    <xf numFmtId="173" fontId="7" fillId="0" borderId="2" xfId="20" applyNumberFormat="1" applyFont="1" applyFill="1" applyBorder="1" applyAlignment="1">
      <alignment horizontal="right" vertical="center"/>
    </xf>
    <xf numFmtId="173" fontId="7" fillId="0" borderId="13" xfId="20" applyNumberFormat="1" applyFont="1" applyFill="1" applyBorder="1" applyAlignment="1">
      <alignment horizontal="right" vertical="center"/>
    </xf>
    <xf numFmtId="49" fontId="3" fillId="0" borderId="17" xfId="21" applyNumberFormat="1" applyFont="1" applyFill="1" applyBorder="1" applyAlignment="1">
      <alignment horizontal="justify" vertical="center" wrapText="1"/>
    </xf>
    <xf numFmtId="0" fontId="3" fillId="0" borderId="42" xfId="0" applyFont="1" applyFill="1" applyBorder="1" applyAlignment="1">
      <alignment horizontal="center" vertical="center" wrapText="1"/>
    </xf>
    <xf numFmtId="173" fontId="7" fillId="0" borderId="38" xfId="0" applyNumberFormat="1" applyFont="1" applyFill="1" applyBorder="1" applyAlignment="1">
      <alignment horizontal="justify" vertical="center" wrapText="1"/>
    </xf>
    <xf numFmtId="49" fontId="3" fillId="0" borderId="38" xfId="21" applyNumberFormat="1" applyFont="1" applyFill="1" applyBorder="1" applyAlignment="1">
      <alignment horizontal="justify" vertical="center" wrapText="1"/>
    </xf>
    <xf numFmtId="0" fontId="3" fillId="0" borderId="72" xfId="0" applyFont="1" applyFill="1" applyBorder="1" applyAlignment="1">
      <alignment horizontal="center" vertical="center" wrapText="1"/>
    </xf>
    <xf numFmtId="49" fontId="7" fillId="0" borderId="29" xfId="21" applyNumberFormat="1" applyFont="1" applyFill="1" applyBorder="1" applyAlignment="1">
      <alignment horizontal="justify" vertical="center" wrapText="1"/>
    </xf>
    <xf numFmtId="173" fontId="7" fillId="0" borderId="11" xfId="16" applyNumberFormat="1" applyFont="1" applyFill="1" applyBorder="1" applyAlignment="1">
      <alignment horizontal="right" vertical="center"/>
    </xf>
    <xf numFmtId="0" fontId="3" fillId="0" borderId="28" xfId="0" applyFont="1" applyFill="1" applyBorder="1" applyAlignment="1">
      <alignment horizontal="center" vertical="center" wrapText="1"/>
    </xf>
    <xf numFmtId="49" fontId="7" fillId="0" borderId="17" xfId="21" applyNumberFormat="1" applyFont="1" applyFill="1" applyBorder="1" applyAlignment="1">
      <alignment horizontal="justify" vertical="center" wrapText="1"/>
    </xf>
    <xf numFmtId="0" fontId="3" fillId="0" borderId="70" xfId="0" applyFont="1" applyFill="1" applyBorder="1" applyAlignment="1">
      <alignment horizontal="center" vertical="center" wrapText="1"/>
    </xf>
    <xf numFmtId="49" fontId="7" fillId="0" borderId="42" xfId="20" applyNumberFormat="1" applyFont="1" applyFill="1" applyBorder="1" applyAlignment="1">
      <alignment vertical="center" wrapText="1"/>
    </xf>
    <xf numFmtId="0" fontId="16" fillId="0" borderId="9" xfId="0" applyFont="1" applyFill="1" applyBorder="1" applyAlignment="1">
      <alignment horizontal="center" vertical="center"/>
    </xf>
    <xf numFmtId="173" fontId="7" fillId="0" borderId="2" xfId="16" applyNumberFormat="1" applyFont="1" applyFill="1" applyBorder="1" applyAlignment="1">
      <alignment horizontal="right" vertical="center" wrapText="1"/>
    </xf>
    <xf numFmtId="0" fontId="16" fillId="0" borderId="14" xfId="0" applyFont="1" applyFill="1" applyBorder="1" applyAlignment="1">
      <alignment horizontal="center" vertical="center"/>
    </xf>
    <xf numFmtId="173" fontId="3" fillId="0" borderId="2" xfId="23" applyFont="1" applyFill="1" applyBorder="1" applyAlignment="1">
      <alignment vertical="center"/>
    </xf>
    <xf numFmtId="0" fontId="16" fillId="0" borderId="15" xfId="0" applyFont="1" applyFill="1" applyBorder="1" applyAlignment="1">
      <alignment horizontal="center" vertical="center"/>
    </xf>
    <xf numFmtId="0" fontId="7" fillId="0" borderId="3" xfId="0" applyFont="1" applyFill="1" applyBorder="1" applyAlignment="1">
      <alignment horizontal="center" vertical="center" wrapText="1"/>
    </xf>
    <xf numFmtId="173" fontId="7" fillId="0" borderId="10" xfId="22" applyNumberFormat="1" applyFont="1" applyFill="1" applyBorder="1" applyAlignment="1">
      <alignment horizontal="right" vertical="center"/>
    </xf>
    <xf numFmtId="43" fontId="6" fillId="6" borderId="5" xfId="16" applyFont="1" applyFill="1" applyBorder="1" applyAlignment="1">
      <alignment horizontal="justify" vertical="center" wrapText="1"/>
    </xf>
    <xf numFmtId="0" fontId="7" fillId="6" borderId="5" xfId="0" applyFont="1" applyFill="1" applyBorder="1" applyAlignment="1">
      <alignment horizontal="justify" vertical="center" wrapText="1"/>
    </xf>
    <xf numFmtId="173" fontId="6" fillId="6" borderId="5" xfId="0" applyNumberFormat="1" applyFont="1" applyFill="1" applyBorder="1" applyAlignment="1">
      <alignment horizontal="right" vertical="center" wrapText="1"/>
    </xf>
    <xf numFmtId="164" fontId="6" fillId="6" borderId="5" xfId="0" applyNumberFormat="1" applyFont="1" applyFill="1" applyBorder="1" applyAlignment="1">
      <alignment horizontal="center" vertical="center" wrapText="1"/>
    </xf>
    <xf numFmtId="43" fontId="7" fillId="6" borderId="0" xfId="16" applyFont="1" applyFill="1" applyBorder="1" applyAlignment="1">
      <alignment vertical="center" wrapText="1"/>
    </xf>
    <xf numFmtId="0" fontId="7" fillId="6" borderId="7" xfId="0" applyFont="1" applyFill="1" applyBorder="1" applyAlignment="1">
      <alignment horizontal="justify" vertical="center"/>
    </xf>
    <xf numFmtId="0" fontId="3" fillId="0" borderId="5" xfId="0" applyFont="1" applyFill="1" applyBorder="1" applyAlignment="1">
      <alignment horizontal="center"/>
    </xf>
    <xf numFmtId="0" fontId="3" fillId="0" borderId="7" xfId="0" applyFont="1" applyFill="1" applyBorder="1" applyAlignment="1">
      <alignment horizontal="center"/>
    </xf>
    <xf numFmtId="173" fontId="3" fillId="0" borderId="10" xfId="16" applyNumberFormat="1" applyFont="1" applyFill="1" applyBorder="1" applyAlignment="1">
      <alignment horizontal="right" vertical="center"/>
    </xf>
    <xf numFmtId="0" fontId="3" fillId="0" borderId="12" xfId="0" applyFont="1" applyFill="1" applyBorder="1" applyAlignment="1">
      <alignment vertical="center" wrapText="1"/>
    </xf>
    <xf numFmtId="0" fontId="3" fillId="0" borderId="0" xfId="0" applyFont="1" applyFill="1" applyBorder="1" applyAlignment="1">
      <alignment horizontal="center"/>
    </xf>
    <xf numFmtId="9" fontId="7" fillId="0" borderId="2" xfId="3" applyFont="1" applyFill="1" applyBorder="1" applyAlignment="1">
      <alignment horizontal="center" vertical="center" wrapText="1"/>
    </xf>
    <xf numFmtId="174" fontId="7" fillId="0" borderId="12" xfId="20" applyNumberFormat="1" applyFont="1" applyFill="1" applyBorder="1" applyAlignment="1">
      <alignment vertical="center" wrapText="1"/>
    </xf>
    <xf numFmtId="173" fontId="7" fillId="0" borderId="8" xfId="16" applyNumberFormat="1" applyFont="1" applyFill="1" applyBorder="1" applyAlignment="1">
      <alignment horizontal="right" vertical="center"/>
    </xf>
    <xf numFmtId="174" fontId="7" fillId="0" borderId="7" xfId="20" applyNumberFormat="1" applyFont="1" applyFill="1" applyBorder="1" applyAlignment="1">
      <alignment vertical="center" wrapText="1"/>
    </xf>
    <xf numFmtId="173" fontId="7" fillId="0" borderId="2" xfId="23" applyFont="1" applyFill="1" applyBorder="1" applyAlignment="1">
      <alignment vertical="center"/>
    </xf>
    <xf numFmtId="173" fontId="7" fillId="0" borderId="8" xfId="16" applyNumberFormat="1" applyFont="1" applyFill="1" applyBorder="1" applyAlignment="1">
      <alignment horizontal="right" vertical="center" wrapText="1"/>
    </xf>
    <xf numFmtId="14" fontId="7" fillId="0" borderId="1" xfId="0" applyNumberFormat="1" applyFont="1" applyFill="1" applyBorder="1" applyAlignment="1">
      <alignment horizontal="center" vertical="center" wrapText="1"/>
    </xf>
    <xf numFmtId="173" fontId="7" fillId="0" borderId="51" xfId="20" applyNumberFormat="1" applyFont="1" applyFill="1" applyBorder="1" applyAlignment="1">
      <alignment horizontal="right" vertical="center"/>
    </xf>
    <xf numFmtId="0" fontId="7" fillId="0" borderId="30" xfId="0" applyFont="1" applyFill="1" applyBorder="1" applyAlignment="1">
      <alignment vertical="center" wrapText="1"/>
    </xf>
    <xf numFmtId="0" fontId="7" fillId="0" borderId="30" xfId="0" applyFont="1" applyBorder="1" applyAlignment="1">
      <alignment vertical="center" wrapText="1"/>
    </xf>
    <xf numFmtId="173" fontId="7" fillId="0" borderId="51" xfId="16" applyNumberFormat="1" applyFont="1" applyFill="1" applyBorder="1" applyAlignment="1">
      <alignment horizontal="right" vertical="center"/>
    </xf>
    <xf numFmtId="173" fontId="3" fillId="0" borderId="3" xfId="0" applyNumberFormat="1" applyFont="1" applyFill="1" applyBorder="1" applyAlignment="1">
      <alignment horizontal="right" vertical="center"/>
    </xf>
    <xf numFmtId="0" fontId="3" fillId="0" borderId="4" xfId="0" applyFont="1" applyFill="1" applyBorder="1" applyAlignment="1">
      <alignment vertical="center" wrapText="1"/>
    </xf>
    <xf numFmtId="173" fontId="3" fillId="0" borderId="13" xfId="0" applyNumberFormat="1" applyFont="1" applyFill="1" applyBorder="1" applyAlignment="1">
      <alignment horizontal="right" vertical="center"/>
    </xf>
    <xf numFmtId="0" fontId="3" fillId="0" borderId="3" xfId="0" applyFont="1" applyFill="1" applyBorder="1" applyAlignment="1">
      <alignment horizontal="center"/>
    </xf>
    <xf numFmtId="43" fontId="2" fillId="0" borderId="2" xfId="16"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173" fontId="2" fillId="0" borderId="6" xfId="16" applyNumberFormat="1" applyFont="1" applyFill="1" applyBorder="1" applyAlignment="1">
      <alignment horizontal="right"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1" fontId="16" fillId="0" borderId="0" xfId="0" applyNumberFormat="1" applyFont="1" applyFill="1"/>
    <xf numFmtId="0" fontId="16" fillId="0" borderId="0" xfId="0" applyFont="1" applyFill="1" applyAlignment="1">
      <alignment horizontal="justify" vertical="center" wrapText="1"/>
    </xf>
    <xf numFmtId="0" fontId="16" fillId="0" borderId="0" xfId="0" applyFont="1" applyFill="1" applyAlignment="1">
      <alignment vertical="center"/>
    </xf>
    <xf numFmtId="0" fontId="3" fillId="0" borderId="0" xfId="0" applyFont="1" applyFill="1" applyAlignment="1">
      <alignment horizontal="justify"/>
    </xf>
    <xf numFmtId="9" fontId="3" fillId="0" borderId="0" xfId="3" applyFont="1" applyFill="1" applyAlignment="1">
      <alignment horizontal="center" vertical="center"/>
    </xf>
    <xf numFmtId="164" fontId="3" fillId="0" borderId="0" xfId="0" applyNumberFormat="1" applyFont="1" applyFill="1" applyAlignment="1">
      <alignment horizontal="right" vertical="center"/>
    </xf>
    <xf numFmtId="1" fontId="16" fillId="0" borderId="0" xfId="0" applyNumberFormat="1" applyFont="1" applyFill="1" applyAlignment="1">
      <alignment horizontal="center" vertical="center"/>
    </xf>
    <xf numFmtId="167" fontId="16" fillId="0" borderId="0" xfId="0" applyNumberFormat="1" applyFont="1" applyFill="1" applyAlignment="1">
      <alignment horizontal="center"/>
    </xf>
    <xf numFmtId="0" fontId="16" fillId="0" borderId="0" xfId="0" applyFont="1" applyFill="1" applyAlignment="1">
      <alignment horizontal="justify" vertical="center"/>
    </xf>
    <xf numFmtId="0" fontId="16" fillId="0" borderId="0" xfId="0" applyFont="1" applyFill="1" applyAlignment="1">
      <alignment horizontal="center"/>
    </xf>
    <xf numFmtId="165" fontId="16" fillId="0" borderId="0" xfId="0" applyNumberFormat="1" applyFont="1" applyFill="1" applyAlignment="1">
      <alignment horizontal="center" vertical="center"/>
    </xf>
    <xf numFmtId="166" fontId="16" fillId="0" borderId="0" xfId="0" applyNumberFormat="1" applyFont="1" applyFill="1" applyAlignment="1">
      <alignment horizontal="center" vertical="center"/>
    </xf>
    <xf numFmtId="0" fontId="15" fillId="0" borderId="0" xfId="0" applyFont="1" applyFill="1" applyAlignment="1">
      <alignment horizontal="right" vertical="center" wrapText="1"/>
    </xf>
    <xf numFmtId="166" fontId="15" fillId="0" borderId="0" xfId="0" applyNumberFormat="1" applyFont="1" applyFill="1" applyAlignment="1">
      <alignment horizontal="right" vertical="center"/>
    </xf>
    <xf numFmtId="0" fontId="16" fillId="2" borderId="0" xfId="0" applyFont="1" applyFill="1" applyAlignment="1">
      <alignment vertical="center"/>
    </xf>
    <xf numFmtId="176" fontId="16" fillId="0" borderId="0" xfId="0" applyNumberFormat="1" applyFont="1" applyFill="1" applyAlignment="1">
      <alignment horizontal="right" vertical="center"/>
    </xf>
    <xf numFmtId="173" fontId="16" fillId="0" borderId="0" xfId="0" applyNumberFormat="1" applyFont="1"/>
    <xf numFmtId="166" fontId="16" fillId="0" borderId="0" xfId="0" applyNumberFormat="1" applyFont="1" applyFill="1" applyAlignment="1">
      <alignment horizontal="right" vertical="center"/>
    </xf>
  </cellXfs>
  <cellStyles count="24">
    <cellStyle name="Excel Built-in Normal 2" xfId="21"/>
    <cellStyle name="KPT04" xfId="5"/>
    <cellStyle name="Millares" xfId="1" builtinId="3"/>
    <cellStyle name="Millares [0] 2" xfId="6"/>
    <cellStyle name="Millares 2" xfId="7"/>
    <cellStyle name="Millares 2 2" xfId="4"/>
    <cellStyle name="Millares 2 2 2" xfId="10"/>
    <cellStyle name="Millares 2 2 2 2" xfId="14"/>
    <cellStyle name="Millares 2 2 2 3" xfId="16"/>
    <cellStyle name="Millares 2 3" xfId="13"/>
    <cellStyle name="Millares 2 3 2" xfId="22"/>
    <cellStyle name="Millares 2 4" xfId="20"/>
    <cellStyle name="Millares 3" xfId="23"/>
    <cellStyle name="Millares 4" xfId="12"/>
    <cellStyle name="Moneda" xfId="2" builtinId="4"/>
    <cellStyle name="Moneda [0] 2" xfId="9"/>
    <cellStyle name="Moneda 2 2" xfId="8"/>
    <cellStyle name="Moneda 2 3" xfId="11"/>
    <cellStyle name="Moneda 3" xfId="17"/>
    <cellStyle name="Normal" xfId="0" builtinId="0"/>
    <cellStyle name="Normal 2" xfId="15"/>
    <cellStyle name="Normal 2 3" xfId="19"/>
    <cellStyle name="Normal 7" xfId="18"/>
    <cellStyle name="Porcentaje"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20/SGTO%20INSTRUMENTOS%202020/SGTO%20PDD%20IV%20TRIMESTRE%202020/UNIDADES%20EJECUTORAS%20IV%20TRIM%202020/SGTO%20PROMOTORA%20IV%20TRIM%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20/SGTO%20INSTRUMENTOS%202020/SGTO%20PDD%20IV%20TRIMESTRE%202020/UNIDADES%20EJECUTORAS%20IV%20TRIM%202020/SALUD%20SGTO%20PDD%20IV%20TRIM%202020%20V3%20Feb%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F-PLA 47"/>
      <sheetName val="Plan de accion F-PLA-06"/>
      <sheetName val="Seguimiento P.A F-PLA 07."/>
      <sheetName val="Inversión Mpios -PLA 39"/>
      <sheetName val="Gestión Recursos F-PLA 40"/>
    </sheetNames>
    <sheetDataSet>
      <sheetData sheetId="0">
        <row r="16">
          <cell r="Q16">
            <v>372570330</v>
          </cell>
        </row>
        <row r="17">
          <cell r="Q17">
            <v>372570330</v>
          </cell>
        </row>
        <row r="18">
          <cell r="Q18">
            <v>145520000</v>
          </cell>
        </row>
        <row r="19">
          <cell r="Q19">
            <v>218280000</v>
          </cell>
        </row>
        <row r="20">
          <cell r="Q20">
            <v>89176000</v>
          </cell>
        </row>
        <row r="21">
          <cell r="Q21">
            <v>100000000</v>
          </cell>
        </row>
        <row r="22">
          <cell r="Q22">
            <v>170814443.5</v>
          </cell>
        </row>
        <row r="23">
          <cell r="Q23">
            <v>50971986</v>
          </cell>
        </row>
        <row r="24">
          <cell r="Q24">
            <v>189176000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F-PLA-47 MP SALUD"/>
      <sheetName val="F-PLA-06 PLAN ACCION SALUD"/>
      <sheetName val="PA F-PLA-07 SGTO PLAN A SALUD"/>
      <sheetName val="plan accion PROYECTOS"/>
      <sheetName val="F-PLA-39 INV TERRIT SALU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26"/>
  <sheetViews>
    <sheetView showGridLines="0" zoomScale="60" zoomScaleNormal="60" workbookViewId="0">
      <selection activeCell="I14" sqref="I14:I16"/>
    </sheetView>
  </sheetViews>
  <sheetFormatPr baseColWidth="10" defaultColWidth="11.42578125" defaultRowHeight="14.25" x14ac:dyDescent="0.2"/>
  <cols>
    <col min="1" max="1" width="13.85546875" style="439" customWidth="1"/>
    <col min="2" max="2" width="4" style="360" customWidth="1"/>
    <col min="3" max="3" width="17.5703125" style="360" customWidth="1"/>
    <col min="4" max="4" width="15.5703125" style="360" customWidth="1"/>
    <col min="5" max="5" width="11.28515625" style="360" customWidth="1"/>
    <col min="6" max="6" width="9.28515625" style="360" customWidth="1"/>
    <col min="7" max="7" width="13" style="360" customWidth="1"/>
    <col min="8" max="8" width="17.28515625" style="360" customWidth="1"/>
    <col min="9" max="9" width="35" style="440" customWidth="1"/>
    <col min="10" max="10" width="37.28515625" style="180" customWidth="1"/>
    <col min="11" max="11" width="22.85546875" style="180" customWidth="1"/>
    <col min="12" max="12" width="38.7109375" style="180" customWidth="1"/>
    <col min="13" max="13" width="22.140625" style="441" customWidth="1"/>
    <col min="14" max="14" width="37.140625" style="442" customWidth="1"/>
    <col min="15" max="15" width="14.42578125" style="443" customWidth="1"/>
    <col min="16" max="16" width="25" style="444" customWidth="1"/>
    <col min="17" max="17" width="45.28515625" style="440" customWidth="1"/>
    <col min="18" max="18" width="74.5703125" style="440" customWidth="1"/>
    <col min="19" max="19" width="68.42578125" style="440" customWidth="1"/>
    <col min="20" max="20" width="33.140625" style="453" customWidth="1"/>
    <col min="21" max="21" width="14.140625" style="446" customWidth="1"/>
    <col min="22" max="22" width="27.28515625" style="447" customWidth="1"/>
    <col min="23" max="25" width="11.42578125" style="360"/>
    <col min="26" max="26" width="14" style="360" customWidth="1"/>
    <col min="27" max="27" width="13.5703125" style="360" customWidth="1"/>
    <col min="28" max="28" width="13.140625" style="360" customWidth="1"/>
    <col min="29" max="38" width="11.42578125" style="360"/>
    <col min="39" max="39" width="16.140625" style="448" customWidth="1"/>
    <col min="40" max="40" width="21.7109375" style="454" customWidth="1"/>
    <col min="41" max="41" width="31.7109375" style="450" customWidth="1"/>
    <col min="42" max="42" width="9.140625" style="360" customWidth="1"/>
    <col min="43" max="16384" width="11.42578125" style="360"/>
  </cols>
  <sheetData>
    <row r="1" spans="1:58" ht="15" customHeight="1" x14ac:dyDescent="0.2">
      <c r="A1" s="2145" t="s">
        <v>286</v>
      </c>
      <c r="B1" s="2146"/>
      <c r="C1" s="2146"/>
      <c r="D1" s="2146"/>
      <c r="E1" s="2146"/>
      <c r="F1" s="2146"/>
      <c r="G1" s="2146"/>
      <c r="H1" s="2146"/>
      <c r="I1" s="2146"/>
      <c r="J1" s="2146"/>
      <c r="K1" s="2146"/>
      <c r="L1" s="2146"/>
      <c r="M1" s="2146"/>
      <c r="N1" s="2146"/>
      <c r="O1" s="2146"/>
      <c r="P1" s="2146"/>
      <c r="Q1" s="2146"/>
      <c r="R1" s="2146"/>
      <c r="S1" s="2146"/>
      <c r="T1" s="2146"/>
      <c r="U1" s="2146"/>
      <c r="V1" s="2146"/>
      <c r="W1" s="2146"/>
      <c r="X1" s="2146"/>
      <c r="Y1" s="2146"/>
      <c r="Z1" s="2146"/>
      <c r="AA1" s="2146"/>
      <c r="AB1" s="2146"/>
      <c r="AC1" s="2146"/>
      <c r="AD1" s="2146"/>
      <c r="AE1" s="2146"/>
      <c r="AF1" s="2146"/>
      <c r="AG1" s="2146"/>
      <c r="AH1" s="2146"/>
      <c r="AI1" s="2146"/>
      <c r="AJ1" s="2146"/>
      <c r="AK1" s="2146"/>
      <c r="AL1" s="2146"/>
      <c r="AM1" s="2146"/>
      <c r="AN1" s="358" t="s">
        <v>1</v>
      </c>
      <c r="AO1" s="359" t="s">
        <v>210</v>
      </c>
      <c r="AQ1" s="180"/>
      <c r="AR1" s="180"/>
      <c r="AS1" s="180"/>
      <c r="AT1" s="180"/>
      <c r="AU1" s="180"/>
      <c r="AV1" s="180"/>
      <c r="AW1" s="180"/>
      <c r="AX1" s="180"/>
      <c r="AY1" s="180"/>
      <c r="AZ1" s="180"/>
      <c r="BA1" s="180"/>
      <c r="BB1" s="180"/>
      <c r="BC1" s="180"/>
      <c r="BD1" s="180"/>
      <c r="BE1" s="180"/>
      <c r="BF1" s="180"/>
    </row>
    <row r="2" spans="1:58" ht="15" customHeight="1" x14ac:dyDescent="0.2">
      <c r="A2" s="2147"/>
      <c r="B2" s="2148"/>
      <c r="C2" s="2148"/>
      <c r="D2" s="2148"/>
      <c r="E2" s="2148"/>
      <c r="F2" s="2148"/>
      <c r="G2" s="2148"/>
      <c r="H2" s="2148"/>
      <c r="I2" s="2148"/>
      <c r="J2" s="2148"/>
      <c r="K2" s="2148"/>
      <c r="L2" s="2148"/>
      <c r="M2" s="2148"/>
      <c r="N2" s="2148"/>
      <c r="O2" s="2148"/>
      <c r="P2" s="2148"/>
      <c r="Q2" s="2148"/>
      <c r="R2" s="2148"/>
      <c r="S2" s="2148"/>
      <c r="T2" s="2148"/>
      <c r="U2" s="2148"/>
      <c r="V2" s="2148"/>
      <c r="W2" s="2148"/>
      <c r="X2" s="2148"/>
      <c r="Y2" s="2148"/>
      <c r="Z2" s="2148"/>
      <c r="AA2" s="2148"/>
      <c r="AB2" s="2148"/>
      <c r="AC2" s="2148"/>
      <c r="AD2" s="2148"/>
      <c r="AE2" s="2148"/>
      <c r="AF2" s="2148"/>
      <c r="AG2" s="2148"/>
      <c r="AH2" s="2148"/>
      <c r="AI2" s="2148"/>
      <c r="AJ2" s="2148"/>
      <c r="AK2" s="2148"/>
      <c r="AL2" s="2148"/>
      <c r="AM2" s="2148"/>
      <c r="AN2" s="361" t="s">
        <v>3</v>
      </c>
      <c r="AO2" s="362">
        <v>6</v>
      </c>
      <c r="AQ2" s="180"/>
      <c r="AR2" s="180"/>
      <c r="AS2" s="180"/>
      <c r="AT2" s="180"/>
      <c r="AU2" s="180"/>
      <c r="AV2" s="180"/>
      <c r="AW2" s="180"/>
      <c r="AX2" s="180"/>
      <c r="AY2" s="180"/>
      <c r="AZ2" s="180"/>
      <c r="BA2" s="180"/>
      <c r="BB2" s="180"/>
      <c r="BC2" s="180"/>
      <c r="BD2" s="180"/>
      <c r="BE2" s="180"/>
      <c r="BF2" s="180"/>
    </row>
    <row r="3" spans="1:58" ht="15" customHeight="1" x14ac:dyDescent="0.2">
      <c r="A3" s="2147"/>
      <c r="B3" s="2148"/>
      <c r="C3" s="2148"/>
      <c r="D3" s="2148"/>
      <c r="E3" s="2148"/>
      <c r="F3" s="2148"/>
      <c r="G3" s="2148"/>
      <c r="H3" s="2148"/>
      <c r="I3" s="2148"/>
      <c r="J3" s="2148"/>
      <c r="K3" s="2148"/>
      <c r="L3" s="2148"/>
      <c r="M3" s="2148"/>
      <c r="N3" s="2148"/>
      <c r="O3" s="2148"/>
      <c r="P3" s="2148"/>
      <c r="Q3" s="2148"/>
      <c r="R3" s="2148"/>
      <c r="S3" s="2148"/>
      <c r="T3" s="2148"/>
      <c r="U3" s="2148"/>
      <c r="V3" s="2148"/>
      <c r="W3" s="2148"/>
      <c r="X3" s="2148"/>
      <c r="Y3" s="2148"/>
      <c r="Z3" s="2148"/>
      <c r="AA3" s="2148"/>
      <c r="AB3" s="2148"/>
      <c r="AC3" s="2148"/>
      <c r="AD3" s="2148"/>
      <c r="AE3" s="2148"/>
      <c r="AF3" s="2148"/>
      <c r="AG3" s="2148"/>
      <c r="AH3" s="2148"/>
      <c r="AI3" s="2148"/>
      <c r="AJ3" s="2148"/>
      <c r="AK3" s="2148"/>
      <c r="AL3" s="2148"/>
      <c r="AM3" s="2148"/>
      <c r="AN3" s="361" t="s">
        <v>5</v>
      </c>
      <c r="AO3" s="363" t="s">
        <v>6</v>
      </c>
      <c r="AQ3" s="180"/>
      <c r="AR3" s="180"/>
      <c r="AS3" s="180"/>
      <c r="AT3" s="180"/>
      <c r="AU3" s="180"/>
      <c r="AV3" s="180"/>
      <c r="AW3" s="180"/>
      <c r="AX3" s="180"/>
      <c r="AY3" s="180"/>
      <c r="AZ3" s="180"/>
      <c r="BA3" s="180"/>
      <c r="BB3" s="180"/>
      <c r="BC3" s="180"/>
      <c r="BD3" s="180"/>
      <c r="BE3" s="180"/>
      <c r="BF3" s="180"/>
    </row>
    <row r="4" spans="1:58" ht="15" customHeight="1" x14ac:dyDescent="0.2">
      <c r="A4" s="2149"/>
      <c r="B4" s="2150"/>
      <c r="C4" s="2150"/>
      <c r="D4" s="2150"/>
      <c r="E4" s="2150"/>
      <c r="F4" s="2150"/>
      <c r="G4" s="2150"/>
      <c r="H4" s="2150"/>
      <c r="I4" s="2150"/>
      <c r="J4" s="2150"/>
      <c r="K4" s="2150"/>
      <c r="L4" s="2150"/>
      <c r="M4" s="2150"/>
      <c r="N4" s="2150"/>
      <c r="O4" s="2150"/>
      <c r="P4" s="2150"/>
      <c r="Q4" s="2150"/>
      <c r="R4" s="2150"/>
      <c r="S4" s="2150"/>
      <c r="T4" s="2150"/>
      <c r="U4" s="2150"/>
      <c r="V4" s="2150"/>
      <c r="W4" s="2150"/>
      <c r="X4" s="2150"/>
      <c r="Y4" s="2150"/>
      <c r="Z4" s="2150"/>
      <c r="AA4" s="2150"/>
      <c r="AB4" s="2150"/>
      <c r="AC4" s="2150"/>
      <c r="AD4" s="2150"/>
      <c r="AE4" s="2150"/>
      <c r="AF4" s="2150"/>
      <c r="AG4" s="2150"/>
      <c r="AH4" s="2150"/>
      <c r="AI4" s="2150"/>
      <c r="AJ4" s="2150"/>
      <c r="AK4" s="2150"/>
      <c r="AL4" s="2150"/>
      <c r="AM4" s="2150"/>
      <c r="AN4" s="361" t="s">
        <v>7</v>
      </c>
      <c r="AO4" s="364" t="s">
        <v>287</v>
      </c>
      <c r="AQ4" s="180"/>
      <c r="AR4" s="180"/>
      <c r="AS4" s="180"/>
      <c r="AT4" s="180"/>
      <c r="AU4" s="180"/>
      <c r="AV4" s="180"/>
      <c r="AW4" s="180"/>
      <c r="AX4" s="180"/>
      <c r="AY4" s="180"/>
      <c r="AZ4" s="180"/>
      <c r="BA4" s="180"/>
      <c r="BB4" s="180"/>
      <c r="BC4" s="180"/>
      <c r="BD4" s="180"/>
      <c r="BE4" s="180"/>
      <c r="BF4" s="180"/>
    </row>
    <row r="5" spans="1:58" ht="15.75" x14ac:dyDescent="0.2">
      <c r="A5" s="2151" t="s">
        <v>288</v>
      </c>
      <c r="B5" s="2152"/>
      <c r="C5" s="2152"/>
      <c r="D5" s="2152"/>
      <c r="E5" s="2152"/>
      <c r="F5" s="2152"/>
      <c r="G5" s="2152"/>
      <c r="H5" s="2152"/>
      <c r="I5" s="2152"/>
      <c r="J5" s="2152"/>
      <c r="K5" s="2152"/>
      <c r="L5" s="365"/>
      <c r="M5" s="2155" t="s">
        <v>10</v>
      </c>
      <c r="N5" s="2156"/>
      <c r="O5" s="2156"/>
      <c r="P5" s="2156"/>
      <c r="Q5" s="2156"/>
      <c r="R5" s="2156"/>
      <c r="S5" s="2156"/>
      <c r="T5" s="2156"/>
      <c r="U5" s="2156"/>
      <c r="V5" s="2156"/>
      <c r="W5" s="2156"/>
      <c r="X5" s="2156"/>
      <c r="Y5" s="2156"/>
      <c r="Z5" s="2156"/>
      <c r="AA5" s="2156"/>
      <c r="AB5" s="2156"/>
      <c r="AC5" s="2156"/>
      <c r="AD5" s="2156"/>
      <c r="AE5" s="2156"/>
      <c r="AF5" s="2156"/>
      <c r="AG5" s="2156"/>
      <c r="AH5" s="2156"/>
      <c r="AI5" s="2156"/>
      <c r="AJ5" s="2156"/>
      <c r="AK5" s="2156"/>
      <c r="AL5" s="2156"/>
      <c r="AM5" s="2156"/>
      <c r="AN5" s="2156"/>
      <c r="AO5" s="2157"/>
      <c r="AP5" s="366"/>
      <c r="AQ5" s="180"/>
      <c r="AR5" s="180"/>
      <c r="AS5" s="180"/>
      <c r="AT5" s="180"/>
      <c r="AU5" s="180"/>
      <c r="AV5" s="180"/>
      <c r="AW5" s="180"/>
      <c r="AX5" s="180"/>
      <c r="AY5" s="180"/>
      <c r="AZ5" s="180"/>
      <c r="BA5" s="180"/>
      <c r="BB5" s="180"/>
      <c r="BC5" s="180"/>
      <c r="BD5" s="180"/>
      <c r="BE5" s="180"/>
      <c r="BF5" s="180"/>
    </row>
    <row r="6" spans="1:58" ht="15.75" x14ac:dyDescent="0.2">
      <c r="A6" s="2153"/>
      <c r="B6" s="2154"/>
      <c r="C6" s="2154"/>
      <c r="D6" s="2154"/>
      <c r="E6" s="2154"/>
      <c r="F6" s="2154"/>
      <c r="G6" s="2154"/>
      <c r="H6" s="2154"/>
      <c r="I6" s="2154"/>
      <c r="J6" s="2154"/>
      <c r="K6" s="2154"/>
      <c r="L6" s="367"/>
      <c r="M6" s="368"/>
      <c r="N6" s="369"/>
      <c r="O6" s="370"/>
      <c r="P6" s="367"/>
      <c r="Q6" s="371"/>
      <c r="R6" s="367"/>
      <c r="S6" s="367"/>
      <c r="T6" s="367"/>
      <c r="U6" s="367"/>
      <c r="V6" s="367"/>
      <c r="W6" s="367"/>
      <c r="X6" s="2156"/>
      <c r="Y6" s="2156"/>
      <c r="Z6" s="2156"/>
      <c r="AA6" s="2156"/>
      <c r="AB6" s="2156"/>
      <c r="AC6" s="2156"/>
      <c r="AD6" s="2156"/>
      <c r="AE6" s="2156"/>
      <c r="AF6" s="2156"/>
      <c r="AG6" s="2156"/>
      <c r="AH6" s="2156"/>
      <c r="AI6" s="2156"/>
      <c r="AJ6" s="2156"/>
      <c r="AK6" s="2156"/>
      <c r="AL6" s="367"/>
      <c r="AM6" s="372"/>
      <c r="AN6" s="373"/>
      <c r="AO6" s="374"/>
      <c r="AP6" s="375"/>
      <c r="AQ6" s="180"/>
      <c r="AR6" s="180"/>
      <c r="AS6" s="180"/>
      <c r="AT6" s="180"/>
      <c r="AU6" s="180"/>
      <c r="AV6" s="180"/>
      <c r="AW6" s="180"/>
      <c r="AX6" s="180"/>
      <c r="AY6" s="180"/>
      <c r="AZ6" s="180"/>
      <c r="BA6" s="180"/>
      <c r="BB6" s="180"/>
      <c r="BC6" s="180"/>
      <c r="BD6" s="180"/>
      <c r="BE6" s="180"/>
      <c r="BF6" s="180"/>
    </row>
    <row r="7" spans="1:58" s="170" customFormat="1" ht="15.75" customHeight="1" x14ac:dyDescent="0.2">
      <c r="A7" s="2158" t="s">
        <v>12</v>
      </c>
      <c r="B7" s="2160" t="s">
        <v>13</v>
      </c>
      <c r="C7" s="2161"/>
      <c r="D7" s="2161" t="s">
        <v>12</v>
      </c>
      <c r="E7" s="2160" t="s">
        <v>14</v>
      </c>
      <c r="F7" s="2161"/>
      <c r="G7" s="2161" t="s">
        <v>12</v>
      </c>
      <c r="H7" s="2143" t="s">
        <v>289</v>
      </c>
      <c r="I7" s="2160" t="s">
        <v>15</v>
      </c>
      <c r="J7" s="2143" t="s">
        <v>16</v>
      </c>
      <c r="K7" s="2143" t="s">
        <v>17</v>
      </c>
      <c r="L7" s="2143" t="s">
        <v>18</v>
      </c>
      <c r="M7" s="2143" t="s">
        <v>19</v>
      </c>
      <c r="N7" s="2143" t="s">
        <v>10</v>
      </c>
      <c r="O7" s="2165" t="s">
        <v>20</v>
      </c>
      <c r="P7" s="2167" t="s">
        <v>21</v>
      </c>
      <c r="Q7" s="2160" t="s">
        <v>22</v>
      </c>
      <c r="R7" s="2160" t="s">
        <v>23</v>
      </c>
      <c r="S7" s="2143" t="s">
        <v>24</v>
      </c>
      <c r="T7" s="186" t="s">
        <v>21</v>
      </c>
      <c r="U7" s="2169" t="s">
        <v>12</v>
      </c>
      <c r="V7" s="2143" t="s">
        <v>25</v>
      </c>
      <c r="W7" s="2185" t="s">
        <v>290</v>
      </c>
      <c r="X7" s="2186"/>
      <c r="Y7" s="2187" t="s">
        <v>27</v>
      </c>
      <c r="Z7" s="2188"/>
      <c r="AA7" s="2188"/>
      <c r="AB7" s="2188"/>
      <c r="AC7" s="2189" t="s">
        <v>28</v>
      </c>
      <c r="AD7" s="2189"/>
      <c r="AE7" s="2189"/>
      <c r="AF7" s="2189"/>
      <c r="AG7" s="2189"/>
      <c r="AH7" s="2189"/>
      <c r="AI7" s="2187" t="s">
        <v>29</v>
      </c>
      <c r="AJ7" s="2188"/>
      <c r="AK7" s="2188"/>
      <c r="AL7" s="2164" t="s">
        <v>30</v>
      </c>
      <c r="AM7" s="2173" t="s">
        <v>31</v>
      </c>
      <c r="AN7" s="2173" t="s">
        <v>32</v>
      </c>
      <c r="AO7" s="2175" t="s">
        <v>33</v>
      </c>
      <c r="AP7" s="163"/>
      <c r="AQ7" s="163"/>
      <c r="AR7" s="163"/>
      <c r="AS7" s="163"/>
      <c r="AT7" s="163"/>
      <c r="AU7" s="163"/>
      <c r="AV7" s="163"/>
      <c r="AW7" s="163"/>
      <c r="AX7" s="163"/>
      <c r="AY7" s="163"/>
      <c r="AZ7" s="163"/>
      <c r="BA7" s="163"/>
      <c r="BB7" s="163"/>
      <c r="BC7" s="163"/>
      <c r="BD7" s="163"/>
      <c r="BE7" s="163"/>
      <c r="BF7" s="163"/>
    </row>
    <row r="8" spans="1:58" s="170" customFormat="1" ht="122.25" customHeight="1" x14ac:dyDescent="0.2">
      <c r="A8" s="2159"/>
      <c r="B8" s="2162"/>
      <c r="C8" s="2163"/>
      <c r="D8" s="2163"/>
      <c r="E8" s="2162"/>
      <c r="F8" s="2163"/>
      <c r="G8" s="2163"/>
      <c r="H8" s="2144"/>
      <c r="I8" s="2162"/>
      <c r="J8" s="2144"/>
      <c r="K8" s="2144"/>
      <c r="L8" s="2144"/>
      <c r="M8" s="2144"/>
      <c r="N8" s="2144"/>
      <c r="O8" s="2166"/>
      <c r="P8" s="2168"/>
      <c r="Q8" s="2162"/>
      <c r="R8" s="2162"/>
      <c r="S8" s="2144"/>
      <c r="T8" s="376" t="s">
        <v>291</v>
      </c>
      <c r="U8" s="2170"/>
      <c r="V8" s="2144"/>
      <c r="W8" s="377" t="s">
        <v>35</v>
      </c>
      <c r="X8" s="377" t="s">
        <v>36</v>
      </c>
      <c r="Y8" s="378" t="s">
        <v>37</v>
      </c>
      <c r="Z8" s="378" t="s">
        <v>38</v>
      </c>
      <c r="AA8" s="378" t="s">
        <v>39</v>
      </c>
      <c r="AB8" s="378" t="s">
        <v>40</v>
      </c>
      <c r="AC8" s="379" t="s">
        <v>41</v>
      </c>
      <c r="AD8" s="379" t="s">
        <v>42</v>
      </c>
      <c r="AE8" s="379" t="s">
        <v>43</v>
      </c>
      <c r="AF8" s="379" t="s">
        <v>44</v>
      </c>
      <c r="AG8" s="379" t="s">
        <v>45</v>
      </c>
      <c r="AH8" s="379" t="s">
        <v>292</v>
      </c>
      <c r="AI8" s="378" t="s">
        <v>47</v>
      </c>
      <c r="AJ8" s="378" t="s">
        <v>48</v>
      </c>
      <c r="AK8" s="378" t="s">
        <v>49</v>
      </c>
      <c r="AL8" s="2164"/>
      <c r="AM8" s="2174"/>
      <c r="AN8" s="2174"/>
      <c r="AO8" s="2175"/>
      <c r="AP8" s="163"/>
      <c r="AQ8" s="163"/>
      <c r="AR8" s="163"/>
      <c r="AS8" s="163"/>
      <c r="AT8" s="163"/>
      <c r="AU8" s="163"/>
      <c r="AV8" s="163"/>
      <c r="AW8" s="163"/>
      <c r="AX8" s="163"/>
      <c r="AY8" s="163"/>
      <c r="AZ8" s="163"/>
      <c r="BA8" s="163"/>
      <c r="BB8" s="163"/>
      <c r="BC8" s="163"/>
      <c r="BD8" s="163"/>
      <c r="BE8" s="163"/>
      <c r="BF8" s="163"/>
    </row>
    <row r="9" spans="1:58" s="4" customFormat="1" ht="15.75" x14ac:dyDescent="0.2">
      <c r="A9" s="190">
        <v>4</v>
      </c>
      <c r="B9" s="380" t="s">
        <v>50</v>
      </c>
      <c r="C9" s="381"/>
      <c r="D9" s="23"/>
      <c r="E9" s="23"/>
      <c r="F9" s="23"/>
      <c r="G9" s="23"/>
      <c r="H9" s="23"/>
      <c r="I9" s="24"/>
      <c r="J9" s="23"/>
      <c r="K9" s="23"/>
      <c r="L9" s="23"/>
      <c r="M9" s="26"/>
      <c r="N9" s="25"/>
      <c r="O9" s="27"/>
      <c r="P9" s="28"/>
      <c r="Q9" s="24"/>
      <c r="R9" s="24"/>
      <c r="S9" s="24"/>
      <c r="T9" s="382"/>
      <c r="U9" s="383"/>
      <c r="V9" s="26"/>
      <c r="W9" s="23"/>
      <c r="X9" s="23"/>
      <c r="Y9" s="23"/>
      <c r="Z9" s="23"/>
      <c r="AA9" s="23"/>
      <c r="AB9" s="23"/>
      <c r="AC9" s="23"/>
      <c r="AD9" s="23"/>
      <c r="AE9" s="23"/>
      <c r="AF9" s="23"/>
      <c r="AG9" s="23"/>
      <c r="AH9" s="23"/>
      <c r="AI9" s="23"/>
      <c r="AJ9" s="23"/>
      <c r="AK9" s="23"/>
      <c r="AL9" s="23"/>
      <c r="AM9" s="384"/>
      <c r="AN9" s="384"/>
      <c r="AO9" s="24"/>
      <c r="AP9" s="3"/>
      <c r="AQ9" s="3"/>
      <c r="AR9" s="3"/>
      <c r="AS9" s="3"/>
      <c r="AT9" s="3"/>
      <c r="AU9" s="3"/>
      <c r="AV9" s="3"/>
      <c r="AW9" s="3"/>
      <c r="AX9" s="3"/>
      <c r="AY9" s="3"/>
      <c r="AZ9" s="3"/>
      <c r="BA9" s="3"/>
      <c r="BB9" s="3"/>
      <c r="BC9" s="3"/>
      <c r="BD9" s="3"/>
      <c r="BE9" s="3"/>
      <c r="BF9" s="3"/>
    </row>
    <row r="10" spans="1:58" s="3" customFormat="1" ht="15.75" x14ac:dyDescent="0.2">
      <c r="A10" s="2176"/>
      <c r="B10" s="2177"/>
      <c r="C10" s="2178"/>
      <c r="D10" s="206">
        <v>45</v>
      </c>
      <c r="E10" s="385" t="s">
        <v>74</v>
      </c>
      <c r="F10" s="386"/>
      <c r="G10" s="386"/>
      <c r="H10" s="386"/>
      <c r="I10" s="387"/>
      <c r="J10" s="388"/>
      <c r="K10" s="388"/>
      <c r="L10" s="388"/>
      <c r="M10" s="389"/>
      <c r="N10" s="390"/>
      <c r="O10" s="391"/>
      <c r="P10" s="392"/>
      <c r="Q10" s="393"/>
      <c r="R10" s="393"/>
      <c r="S10" s="393"/>
      <c r="T10" s="394"/>
      <c r="U10" s="395"/>
      <c r="V10" s="396"/>
      <c r="W10" s="388"/>
      <c r="X10" s="388"/>
      <c r="Y10" s="388"/>
      <c r="Z10" s="388"/>
      <c r="AA10" s="388"/>
      <c r="AB10" s="388"/>
      <c r="AC10" s="388"/>
      <c r="AD10" s="388"/>
      <c r="AE10" s="388"/>
      <c r="AF10" s="388"/>
      <c r="AG10" s="388"/>
      <c r="AH10" s="388"/>
      <c r="AI10" s="388"/>
      <c r="AJ10" s="388"/>
      <c r="AK10" s="388"/>
      <c r="AL10" s="388"/>
      <c r="AM10" s="397"/>
      <c r="AN10" s="397"/>
      <c r="AO10" s="393"/>
    </row>
    <row r="11" spans="1:58" s="3" customFormat="1" ht="60" customHeight="1" x14ac:dyDescent="0.2">
      <c r="A11" s="398"/>
      <c r="B11" s="399"/>
      <c r="C11" s="399"/>
      <c r="D11" s="400"/>
      <c r="E11" s="401"/>
      <c r="F11" s="402"/>
      <c r="G11" s="2179" t="s">
        <v>52</v>
      </c>
      <c r="H11" s="2180" t="s">
        <v>171</v>
      </c>
      <c r="I11" s="2181" t="s">
        <v>293</v>
      </c>
      <c r="J11" s="2171" t="s">
        <v>173</v>
      </c>
      <c r="K11" s="2182">
        <v>5</v>
      </c>
      <c r="L11" s="2182" t="s">
        <v>1704</v>
      </c>
      <c r="M11" s="2190" t="s">
        <v>294</v>
      </c>
      <c r="N11" s="2171" t="s">
        <v>295</v>
      </c>
      <c r="O11" s="2192">
        <f>SUM(T11:T13)/P11</f>
        <v>1</v>
      </c>
      <c r="P11" s="2194">
        <f>SUM(T11:T13)</f>
        <v>30000000</v>
      </c>
      <c r="Q11" s="2171" t="s">
        <v>296</v>
      </c>
      <c r="R11" s="2171" t="s">
        <v>297</v>
      </c>
      <c r="S11" s="403" t="s">
        <v>298</v>
      </c>
      <c r="T11" s="404">
        <v>11000000</v>
      </c>
      <c r="U11" s="405">
        <v>88</v>
      </c>
      <c r="V11" s="1651" t="s">
        <v>466</v>
      </c>
      <c r="W11" s="2198">
        <v>295972</v>
      </c>
      <c r="X11" s="2200">
        <v>285580</v>
      </c>
      <c r="Y11" s="2200">
        <v>135545</v>
      </c>
      <c r="Z11" s="2200">
        <v>44254</v>
      </c>
      <c r="AA11" s="2200">
        <v>309146</v>
      </c>
      <c r="AB11" s="2200">
        <v>92607</v>
      </c>
      <c r="AC11" s="2200">
        <v>2145</v>
      </c>
      <c r="AD11" s="2200">
        <v>12718</v>
      </c>
      <c r="AE11" s="2196">
        <v>26</v>
      </c>
      <c r="AF11" s="2196">
        <v>37</v>
      </c>
      <c r="AG11" s="2196">
        <v>0</v>
      </c>
      <c r="AH11" s="2196">
        <v>0</v>
      </c>
      <c r="AI11" s="2200">
        <v>0</v>
      </c>
      <c r="AJ11" s="2200">
        <v>21944</v>
      </c>
      <c r="AK11" s="2200">
        <v>75687</v>
      </c>
      <c r="AL11" s="2214">
        <f>+W11+X11</f>
        <v>581552</v>
      </c>
      <c r="AM11" s="2216">
        <v>44033</v>
      </c>
      <c r="AN11" s="2216">
        <v>44195</v>
      </c>
      <c r="AO11" s="2201" t="s">
        <v>299</v>
      </c>
      <c r="AP11" s="406"/>
    </row>
    <row r="12" spans="1:58" s="3" customFormat="1" ht="34.5" customHeight="1" x14ac:dyDescent="0.2">
      <c r="A12" s="398"/>
      <c r="B12" s="399"/>
      <c r="C12" s="399"/>
      <c r="D12" s="398"/>
      <c r="E12" s="399"/>
      <c r="F12" s="407"/>
      <c r="G12" s="2179"/>
      <c r="H12" s="2180"/>
      <c r="I12" s="2181"/>
      <c r="J12" s="2172"/>
      <c r="K12" s="2183"/>
      <c r="L12" s="2183"/>
      <c r="M12" s="2191"/>
      <c r="N12" s="2172"/>
      <c r="O12" s="2193"/>
      <c r="P12" s="2195"/>
      <c r="Q12" s="2172"/>
      <c r="R12" s="2172"/>
      <c r="S12" s="408" t="s">
        <v>300</v>
      </c>
      <c r="T12" s="404">
        <v>10000000</v>
      </c>
      <c r="U12" s="405">
        <v>88</v>
      </c>
      <c r="V12" s="1651" t="s">
        <v>466</v>
      </c>
      <c r="W12" s="2199"/>
      <c r="X12" s="2197"/>
      <c r="Y12" s="2197"/>
      <c r="Z12" s="2197"/>
      <c r="AA12" s="2197"/>
      <c r="AB12" s="2197"/>
      <c r="AC12" s="2197"/>
      <c r="AD12" s="2197"/>
      <c r="AE12" s="2197"/>
      <c r="AF12" s="2197"/>
      <c r="AG12" s="2197"/>
      <c r="AH12" s="2197"/>
      <c r="AI12" s="2197"/>
      <c r="AJ12" s="2197"/>
      <c r="AK12" s="2197"/>
      <c r="AL12" s="2215"/>
      <c r="AM12" s="2217"/>
      <c r="AN12" s="2217"/>
      <c r="AO12" s="2202"/>
      <c r="AP12" s="406"/>
    </row>
    <row r="13" spans="1:58" s="3" customFormat="1" ht="39" customHeight="1" x14ac:dyDescent="0.2">
      <c r="A13" s="398"/>
      <c r="B13" s="399"/>
      <c r="C13" s="399"/>
      <c r="D13" s="398"/>
      <c r="E13" s="399"/>
      <c r="F13" s="407"/>
      <c r="G13" s="2179"/>
      <c r="H13" s="2180"/>
      <c r="I13" s="2181"/>
      <c r="J13" s="2172"/>
      <c r="K13" s="2184"/>
      <c r="L13" s="2183"/>
      <c r="M13" s="2191"/>
      <c r="N13" s="2172"/>
      <c r="O13" s="2193"/>
      <c r="P13" s="2195"/>
      <c r="Q13" s="2172"/>
      <c r="R13" s="2172"/>
      <c r="S13" s="409" t="s">
        <v>301</v>
      </c>
      <c r="T13" s="410">
        <v>9000000</v>
      </c>
      <c r="U13" s="411">
        <v>88</v>
      </c>
      <c r="V13" s="1651" t="s">
        <v>466</v>
      </c>
      <c r="W13" s="2199"/>
      <c r="X13" s="2197"/>
      <c r="Y13" s="2197"/>
      <c r="Z13" s="2197"/>
      <c r="AA13" s="2197"/>
      <c r="AB13" s="2197"/>
      <c r="AC13" s="2197"/>
      <c r="AD13" s="2197"/>
      <c r="AE13" s="2197"/>
      <c r="AF13" s="2197"/>
      <c r="AG13" s="2197"/>
      <c r="AH13" s="2197"/>
      <c r="AI13" s="2197"/>
      <c r="AJ13" s="2197"/>
      <c r="AK13" s="2197"/>
      <c r="AL13" s="2215"/>
      <c r="AM13" s="2217"/>
      <c r="AN13" s="2217"/>
      <c r="AO13" s="2202"/>
      <c r="AP13" s="406"/>
    </row>
    <row r="14" spans="1:58" s="3" customFormat="1" ht="64.5" customHeight="1" x14ac:dyDescent="0.2">
      <c r="A14" s="398"/>
      <c r="B14" s="399"/>
      <c r="C14" s="399"/>
      <c r="D14" s="398"/>
      <c r="E14" s="399"/>
      <c r="F14" s="407"/>
      <c r="G14" s="2203" t="s">
        <v>52</v>
      </c>
      <c r="H14" s="2205" t="s">
        <v>302</v>
      </c>
      <c r="I14" s="2207" t="s">
        <v>303</v>
      </c>
      <c r="J14" s="2208" t="s">
        <v>304</v>
      </c>
      <c r="K14" s="2209">
        <v>4</v>
      </c>
      <c r="L14" s="2212" t="s">
        <v>1705</v>
      </c>
      <c r="M14" s="2206" t="s">
        <v>305</v>
      </c>
      <c r="N14" s="2208" t="s">
        <v>306</v>
      </c>
      <c r="O14" s="2213">
        <f>SUM(T14:T16)/P14</f>
        <v>1</v>
      </c>
      <c r="P14" s="2228">
        <f>SUM(T14:T16)</f>
        <v>15702140</v>
      </c>
      <c r="Q14" s="2208" t="s">
        <v>296</v>
      </c>
      <c r="R14" s="2208" t="s">
        <v>307</v>
      </c>
      <c r="S14" s="403" t="s">
        <v>308</v>
      </c>
      <c r="T14" s="412">
        <v>5234046</v>
      </c>
      <c r="U14" s="413">
        <v>88</v>
      </c>
      <c r="V14" s="1651" t="s">
        <v>466</v>
      </c>
      <c r="W14" s="2229">
        <v>2476</v>
      </c>
      <c r="X14" s="2227">
        <v>3918</v>
      </c>
      <c r="Y14" s="2227">
        <v>0</v>
      </c>
      <c r="Z14" s="2227">
        <v>0</v>
      </c>
      <c r="AA14" s="2227">
        <v>0</v>
      </c>
      <c r="AB14" s="2227">
        <v>0</v>
      </c>
      <c r="AC14" s="2224">
        <v>0</v>
      </c>
      <c r="AD14" s="2227">
        <v>0</v>
      </c>
      <c r="AE14" s="2224">
        <v>0</v>
      </c>
      <c r="AF14" s="2224">
        <v>0</v>
      </c>
      <c r="AG14" s="2224">
        <v>0</v>
      </c>
      <c r="AH14" s="2224">
        <v>0</v>
      </c>
      <c r="AI14" s="2224">
        <v>0</v>
      </c>
      <c r="AJ14" s="2224">
        <v>0</v>
      </c>
      <c r="AK14" s="2224">
        <v>0</v>
      </c>
      <c r="AL14" s="2224">
        <f>+W14+X14</f>
        <v>6394</v>
      </c>
      <c r="AM14" s="2218">
        <v>44033</v>
      </c>
      <c r="AN14" s="2218">
        <v>44195</v>
      </c>
      <c r="AO14" s="2219" t="s">
        <v>309</v>
      </c>
      <c r="AP14" s="406"/>
    </row>
    <row r="15" spans="1:58" s="3" customFormat="1" ht="42" customHeight="1" x14ac:dyDescent="0.2">
      <c r="A15" s="398"/>
      <c r="B15" s="399"/>
      <c r="C15" s="399"/>
      <c r="D15" s="398"/>
      <c r="E15" s="399"/>
      <c r="F15" s="407"/>
      <c r="G15" s="2204"/>
      <c r="H15" s="2206"/>
      <c r="I15" s="2208"/>
      <c r="J15" s="2208"/>
      <c r="K15" s="2210"/>
      <c r="L15" s="2212"/>
      <c r="M15" s="2206"/>
      <c r="N15" s="2208"/>
      <c r="O15" s="2213"/>
      <c r="P15" s="2228"/>
      <c r="Q15" s="2208"/>
      <c r="R15" s="2208"/>
      <c r="S15" s="408" t="s">
        <v>310</v>
      </c>
      <c r="T15" s="414">
        <v>5234048</v>
      </c>
      <c r="U15" s="413">
        <v>88</v>
      </c>
      <c r="V15" s="1651" t="s">
        <v>466</v>
      </c>
      <c r="W15" s="2229"/>
      <c r="X15" s="2227"/>
      <c r="Y15" s="2227"/>
      <c r="Z15" s="2227"/>
      <c r="AA15" s="2227"/>
      <c r="AB15" s="2227"/>
      <c r="AC15" s="2225"/>
      <c r="AD15" s="2227"/>
      <c r="AE15" s="2225"/>
      <c r="AF15" s="2225"/>
      <c r="AG15" s="2225"/>
      <c r="AH15" s="2225"/>
      <c r="AI15" s="2225"/>
      <c r="AJ15" s="2225"/>
      <c r="AK15" s="2225"/>
      <c r="AL15" s="2225"/>
      <c r="AM15" s="2218"/>
      <c r="AN15" s="2218"/>
      <c r="AO15" s="2219"/>
      <c r="AP15" s="406"/>
    </row>
    <row r="16" spans="1:58" s="3" customFormat="1" ht="42" customHeight="1" x14ac:dyDescent="0.2">
      <c r="A16" s="398"/>
      <c r="B16" s="399"/>
      <c r="C16" s="399"/>
      <c r="D16" s="415"/>
      <c r="E16" s="416"/>
      <c r="F16" s="417"/>
      <c r="G16" s="2204"/>
      <c r="H16" s="2206"/>
      <c r="I16" s="2208"/>
      <c r="J16" s="2208"/>
      <c r="K16" s="2211"/>
      <c r="L16" s="2212"/>
      <c r="M16" s="2206"/>
      <c r="N16" s="2208"/>
      <c r="O16" s="2213"/>
      <c r="P16" s="2228"/>
      <c r="Q16" s="2208"/>
      <c r="R16" s="2208"/>
      <c r="S16" s="408" t="s">
        <v>311</v>
      </c>
      <c r="T16" s="414">
        <v>5234046</v>
      </c>
      <c r="U16" s="413">
        <v>88</v>
      </c>
      <c r="V16" s="1651" t="s">
        <v>466</v>
      </c>
      <c r="W16" s="2229"/>
      <c r="X16" s="2227"/>
      <c r="Y16" s="2227"/>
      <c r="Z16" s="2227"/>
      <c r="AA16" s="2227"/>
      <c r="AB16" s="2227"/>
      <c r="AC16" s="2226"/>
      <c r="AD16" s="2227"/>
      <c r="AE16" s="2226"/>
      <c r="AF16" s="2226"/>
      <c r="AG16" s="2226"/>
      <c r="AH16" s="2226"/>
      <c r="AI16" s="2226"/>
      <c r="AJ16" s="2226"/>
      <c r="AK16" s="2226"/>
      <c r="AL16" s="2226"/>
      <c r="AM16" s="2218"/>
      <c r="AN16" s="2218"/>
      <c r="AO16" s="2219"/>
      <c r="AP16" s="406"/>
    </row>
    <row r="17" spans="1:42" s="3" customFormat="1" ht="15.75" x14ac:dyDescent="0.2">
      <c r="A17" s="2220"/>
      <c r="B17" s="2221"/>
      <c r="C17" s="2222"/>
      <c r="D17" s="418">
        <v>42</v>
      </c>
      <c r="E17" s="419" t="s">
        <v>51</v>
      </c>
      <c r="F17" s="420"/>
      <c r="G17" s="70"/>
      <c r="H17" s="70"/>
      <c r="I17" s="71"/>
      <c r="J17" s="71"/>
      <c r="K17" s="71"/>
      <c r="L17" s="71"/>
      <c r="M17" s="70"/>
      <c r="N17" s="71"/>
      <c r="O17" s="421"/>
      <c r="P17" s="422"/>
      <c r="Q17" s="71"/>
      <c r="R17" s="71"/>
      <c r="S17" s="71"/>
      <c r="T17" s="422"/>
      <c r="U17" s="423"/>
      <c r="V17" s="424"/>
      <c r="W17" s="425"/>
      <c r="X17" s="76"/>
      <c r="Y17" s="76"/>
      <c r="Z17" s="76"/>
      <c r="AA17" s="76"/>
      <c r="AB17" s="76"/>
      <c r="AC17" s="76"/>
      <c r="AD17" s="76"/>
      <c r="AE17" s="76"/>
      <c r="AF17" s="76"/>
      <c r="AG17" s="76"/>
      <c r="AH17" s="76"/>
      <c r="AI17" s="76"/>
      <c r="AJ17" s="76"/>
      <c r="AK17" s="76"/>
      <c r="AL17" s="76"/>
      <c r="AM17" s="76"/>
      <c r="AN17" s="76"/>
      <c r="AO17" s="426"/>
      <c r="AP17" s="406"/>
    </row>
    <row r="18" spans="1:42" s="3" customFormat="1" ht="90" customHeight="1" x14ac:dyDescent="0.2">
      <c r="A18" s="398"/>
      <c r="B18" s="399"/>
      <c r="C18" s="407"/>
      <c r="D18" s="427"/>
      <c r="E18" s="427"/>
      <c r="F18" s="428"/>
      <c r="G18" s="176" t="s">
        <v>52</v>
      </c>
      <c r="H18" s="176" t="s">
        <v>312</v>
      </c>
      <c r="I18" s="277" t="s">
        <v>313</v>
      </c>
      <c r="J18" s="333" t="s">
        <v>314</v>
      </c>
      <c r="K18" s="118">
        <v>1</v>
      </c>
      <c r="L18" s="1889" t="s">
        <v>1706</v>
      </c>
      <c r="M18" s="176" t="s">
        <v>315</v>
      </c>
      <c r="N18" s="277" t="s">
        <v>316</v>
      </c>
      <c r="O18" s="111">
        <f>SUM(T18)/P18</f>
        <v>1</v>
      </c>
      <c r="P18" s="1927">
        <f>SUM(T18)</f>
        <v>30000000</v>
      </c>
      <c r="Q18" s="403" t="s">
        <v>317</v>
      </c>
      <c r="R18" s="277" t="s">
        <v>318</v>
      </c>
      <c r="S18" s="277" t="s">
        <v>319</v>
      </c>
      <c r="T18" s="404">
        <v>30000000</v>
      </c>
      <c r="U18" s="405">
        <v>88</v>
      </c>
      <c r="V18" s="1651" t="s">
        <v>466</v>
      </c>
      <c r="W18" s="429">
        <v>295972</v>
      </c>
      <c r="X18" s="430">
        <v>285580</v>
      </c>
      <c r="Y18" s="430">
        <v>135545</v>
      </c>
      <c r="Z18" s="430">
        <v>44254</v>
      </c>
      <c r="AA18" s="430">
        <v>309146</v>
      </c>
      <c r="AB18" s="430">
        <v>92607</v>
      </c>
      <c r="AC18" s="335">
        <v>2145</v>
      </c>
      <c r="AD18" s="335">
        <v>12718</v>
      </c>
      <c r="AE18" s="335">
        <v>26</v>
      </c>
      <c r="AF18" s="335">
        <v>37</v>
      </c>
      <c r="AG18" s="335">
        <v>0</v>
      </c>
      <c r="AH18" s="335">
        <v>0</v>
      </c>
      <c r="AI18" s="430">
        <v>44350</v>
      </c>
      <c r="AJ18" s="335">
        <v>21944</v>
      </c>
      <c r="AK18" s="430">
        <v>75687</v>
      </c>
      <c r="AL18" s="118">
        <v>581552</v>
      </c>
      <c r="AM18" s="311">
        <v>44033</v>
      </c>
      <c r="AN18" s="175">
        <v>44195</v>
      </c>
      <c r="AO18" s="232" t="s">
        <v>299</v>
      </c>
      <c r="AP18" s="406"/>
    </row>
    <row r="19" spans="1:42" s="4" customFormat="1" ht="18.75" customHeight="1" x14ac:dyDescent="0.2">
      <c r="A19" s="323"/>
      <c r="B19" s="324"/>
      <c r="C19" s="325"/>
      <c r="D19" s="326"/>
      <c r="E19" s="326"/>
      <c r="F19" s="327"/>
      <c r="G19" s="299"/>
      <c r="H19" s="299"/>
      <c r="I19" s="330"/>
      <c r="J19" s="431"/>
      <c r="K19" s="431"/>
      <c r="L19" s="431"/>
      <c r="M19" s="329"/>
      <c r="N19" s="177"/>
      <c r="O19" s="432"/>
      <c r="P19" s="1928">
        <f>SUM(P11:P18)</f>
        <v>75702140</v>
      </c>
      <c r="Q19" s="333"/>
      <c r="R19" s="333"/>
      <c r="S19" s="333"/>
      <c r="T19" s="434">
        <f>SUM(T11:T18)</f>
        <v>75702140</v>
      </c>
      <c r="U19" s="435"/>
      <c r="V19" s="436"/>
      <c r="W19" s="299"/>
      <c r="X19" s="299"/>
      <c r="Y19" s="299"/>
      <c r="Z19" s="299"/>
      <c r="AA19" s="299"/>
      <c r="AB19" s="299"/>
      <c r="AC19" s="299"/>
      <c r="AD19" s="299"/>
      <c r="AE19" s="299"/>
      <c r="AF19" s="299"/>
      <c r="AG19" s="299"/>
      <c r="AH19" s="299"/>
      <c r="AI19" s="299"/>
      <c r="AJ19" s="299"/>
      <c r="AK19" s="299"/>
      <c r="AL19" s="299"/>
      <c r="AM19" s="437"/>
      <c r="AN19" s="438"/>
      <c r="AO19" s="333"/>
    </row>
    <row r="20" spans="1:42" ht="14.25" customHeight="1" x14ac:dyDescent="0.2">
      <c r="T20" s="445"/>
      <c r="AN20" s="449"/>
    </row>
    <row r="21" spans="1:42" ht="14.25" customHeight="1" x14ac:dyDescent="0.2">
      <c r="T21" s="445"/>
      <c r="AN21" s="451"/>
    </row>
    <row r="23" spans="1:42" ht="15.75" x14ac:dyDescent="0.25">
      <c r="C23" s="452"/>
      <c r="D23" s="452"/>
      <c r="E23" s="452"/>
      <c r="F23" s="452"/>
      <c r="G23" s="452"/>
      <c r="L23" s="2223"/>
      <c r="M23" s="2223"/>
      <c r="N23" s="2223"/>
      <c r="O23" s="2223"/>
      <c r="P23" s="2223"/>
    </row>
    <row r="24" spans="1:42" ht="15.75" x14ac:dyDescent="0.25">
      <c r="C24" s="2223" t="s">
        <v>320</v>
      </c>
      <c r="D24" s="2223"/>
      <c r="E24" s="2223"/>
      <c r="F24" s="2223"/>
      <c r="G24" s="2223"/>
      <c r="H24" s="455"/>
      <c r="L24" s="2223"/>
      <c r="M24" s="2223"/>
      <c r="N24" s="2223"/>
      <c r="O24" s="2223"/>
      <c r="P24" s="2223"/>
    </row>
    <row r="25" spans="1:42" ht="15.75" x14ac:dyDescent="0.25">
      <c r="C25" s="2223" t="s">
        <v>321</v>
      </c>
      <c r="D25" s="2223"/>
      <c r="E25" s="2223"/>
      <c r="F25" s="2223"/>
      <c r="G25" s="2223"/>
      <c r="H25" s="455"/>
      <c r="AN25" s="454" t="s">
        <v>322</v>
      </c>
    </row>
    <row r="26" spans="1:42" x14ac:dyDescent="0.2">
      <c r="C26" s="180"/>
      <c r="D26" s="441"/>
      <c r="E26" s="440"/>
      <c r="F26" s="443"/>
      <c r="G26" s="444"/>
      <c r="H26" s="444"/>
    </row>
  </sheetData>
  <sheetProtection password="A60F" sheet="1" objects="1" scenarios="1"/>
  <mergeCells count="99">
    <mergeCell ref="C24:G24"/>
    <mergeCell ref="L24:P24"/>
    <mergeCell ref="C25:G25"/>
    <mergeCell ref="AL14:AL16"/>
    <mergeCell ref="AM14:AM16"/>
    <mergeCell ref="P14:P16"/>
    <mergeCell ref="Q14:Q16"/>
    <mergeCell ref="R14:R16"/>
    <mergeCell ref="W14:W16"/>
    <mergeCell ref="X14:X16"/>
    <mergeCell ref="Y14:Y16"/>
    <mergeCell ref="AN14:AN16"/>
    <mergeCell ref="AO14:AO16"/>
    <mergeCell ref="A17:C17"/>
    <mergeCell ref="L23:P23"/>
    <mergeCell ref="AF14:AF16"/>
    <mergeCell ref="AG14:AG16"/>
    <mergeCell ref="AH14:AH16"/>
    <mergeCell ref="AI14:AI16"/>
    <mergeCell ref="AJ14:AJ16"/>
    <mergeCell ref="AK14:AK16"/>
    <mergeCell ref="Z14:Z16"/>
    <mergeCell ref="AA14:AA16"/>
    <mergeCell ref="AB14:AB16"/>
    <mergeCell ref="AC14:AC16"/>
    <mergeCell ref="AD14:AD16"/>
    <mergeCell ref="AE14:AE16"/>
    <mergeCell ref="AO11:AO13"/>
    <mergeCell ref="G14:G16"/>
    <mergeCell ref="H14:H16"/>
    <mergeCell ref="I14:I16"/>
    <mergeCell ref="J14:J16"/>
    <mergeCell ref="K14:K16"/>
    <mergeCell ref="L14:L16"/>
    <mergeCell ref="M14:M16"/>
    <mergeCell ref="N14:N16"/>
    <mergeCell ref="O14:O16"/>
    <mergeCell ref="AI11:AI13"/>
    <mergeCell ref="AJ11:AJ13"/>
    <mergeCell ref="AK11:AK13"/>
    <mergeCell ref="AL11:AL13"/>
    <mergeCell ref="AM11:AM13"/>
    <mergeCell ref="AN11:AN13"/>
    <mergeCell ref="AH11:AH13"/>
    <mergeCell ref="W11:W13"/>
    <mergeCell ref="X11:X13"/>
    <mergeCell ref="Y11:Y13"/>
    <mergeCell ref="Z11:Z13"/>
    <mergeCell ref="AA11:AA13"/>
    <mergeCell ref="AB11:AB13"/>
    <mergeCell ref="AC11:AC13"/>
    <mergeCell ref="AD11:AD13"/>
    <mergeCell ref="AE11:AE13"/>
    <mergeCell ref="AF11:AF13"/>
    <mergeCell ref="AG11:AG13"/>
    <mergeCell ref="M11:M13"/>
    <mergeCell ref="N11:N13"/>
    <mergeCell ref="O11:O13"/>
    <mergeCell ref="P11:P13"/>
    <mergeCell ref="Q11:Q13"/>
    <mergeCell ref="R11:R13"/>
    <mergeCell ref="AM7:AM8"/>
    <mergeCell ref="AN7:AN8"/>
    <mergeCell ref="AO7:AO8"/>
    <mergeCell ref="A10:C10"/>
    <mergeCell ref="G11:G13"/>
    <mergeCell ref="H11:H13"/>
    <mergeCell ref="I11:I13"/>
    <mergeCell ref="J11:J13"/>
    <mergeCell ref="K11:K13"/>
    <mergeCell ref="L11:L13"/>
    <mergeCell ref="V7:V8"/>
    <mergeCell ref="W7:X7"/>
    <mergeCell ref="Y7:AB7"/>
    <mergeCell ref="AC7:AH7"/>
    <mergeCell ref="AI7:AK7"/>
    <mergeCell ref="AL7:AL8"/>
    <mergeCell ref="O7:O8"/>
    <mergeCell ref="P7:P8"/>
    <mergeCell ref="Q7:Q8"/>
    <mergeCell ref="R7:R8"/>
    <mergeCell ref="S7:S8"/>
    <mergeCell ref="U7:U8"/>
    <mergeCell ref="N7:N8"/>
    <mergeCell ref="A1:AM4"/>
    <mergeCell ref="A5:K6"/>
    <mergeCell ref="M5:AO5"/>
    <mergeCell ref="X6:AK6"/>
    <mergeCell ref="A7:A8"/>
    <mergeCell ref="B7:C8"/>
    <mergeCell ref="D7:D8"/>
    <mergeCell ref="E7:F8"/>
    <mergeCell ref="G7:G8"/>
    <mergeCell ref="H7:H8"/>
    <mergeCell ref="I7:I8"/>
    <mergeCell ref="J7:J8"/>
    <mergeCell ref="K7:K8"/>
    <mergeCell ref="L7:L8"/>
    <mergeCell ref="M7:M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34"/>
  <sheetViews>
    <sheetView showGridLines="0" zoomScale="60" zoomScaleNormal="60" workbookViewId="0">
      <selection sqref="A1:AM4"/>
    </sheetView>
  </sheetViews>
  <sheetFormatPr baseColWidth="10" defaultColWidth="11.42578125" defaultRowHeight="14.25" x14ac:dyDescent="0.2"/>
  <cols>
    <col min="1" max="1" width="13.140625" style="439" customWidth="1"/>
    <col min="2" max="2" width="4" style="360" customWidth="1"/>
    <col min="3" max="3" width="23.5703125" style="360" customWidth="1"/>
    <col min="4" max="4" width="14.7109375" style="360" customWidth="1"/>
    <col min="5" max="5" width="10" style="360" customWidth="1"/>
    <col min="6" max="6" width="16.5703125" style="360" customWidth="1"/>
    <col min="7" max="7" width="22" style="360" customWidth="1"/>
    <col min="8" max="8" width="14" style="360" customWidth="1"/>
    <col min="9" max="9" width="43.5703125" style="440" customWidth="1"/>
    <col min="10" max="10" width="48" style="180" customWidth="1"/>
    <col min="11" max="11" width="21.140625" style="180" customWidth="1"/>
    <col min="12" max="12" width="40.28515625" style="180" customWidth="1"/>
    <col min="13" max="13" width="24.7109375" style="441" customWidth="1"/>
    <col min="14" max="14" width="35.140625" style="440" customWidth="1"/>
    <col min="15" max="15" width="13.7109375" style="443" customWidth="1"/>
    <col min="16" max="16" width="27.85546875" style="444" customWidth="1"/>
    <col min="17" max="17" width="54.85546875" style="440" customWidth="1"/>
    <col min="18" max="18" width="59.28515625" style="440" customWidth="1"/>
    <col min="19" max="19" width="34" style="440" customWidth="1"/>
    <col min="20" max="20" width="28.42578125" style="1425" customWidth="1"/>
    <col min="21" max="21" width="17" style="446" customWidth="1"/>
    <col min="22" max="22" width="22.5703125" style="447" customWidth="1"/>
    <col min="23" max="37" width="10.42578125" style="360" customWidth="1"/>
    <col min="38" max="38" width="11.85546875" style="360" customWidth="1"/>
    <col min="39" max="39" width="18.140625" style="448" customWidth="1"/>
    <col min="40" max="40" width="21.7109375" style="454" customWidth="1"/>
    <col min="41" max="41" width="27" style="450" customWidth="1"/>
    <col min="42" max="16384" width="11.42578125" style="360"/>
  </cols>
  <sheetData>
    <row r="1" spans="1:61" s="458" customFormat="1" ht="15" customHeight="1" x14ac:dyDescent="0.2">
      <c r="A1" s="2147" t="s">
        <v>1267</v>
      </c>
      <c r="B1" s="2148"/>
      <c r="C1" s="2148"/>
      <c r="D1" s="2148"/>
      <c r="E1" s="2148"/>
      <c r="F1" s="2148"/>
      <c r="G1" s="2148"/>
      <c r="H1" s="2148"/>
      <c r="I1" s="2148"/>
      <c r="J1" s="2148"/>
      <c r="K1" s="2148"/>
      <c r="L1" s="2148"/>
      <c r="M1" s="2148"/>
      <c r="N1" s="2148"/>
      <c r="O1" s="2148"/>
      <c r="P1" s="2148"/>
      <c r="Q1" s="2148"/>
      <c r="R1" s="2148"/>
      <c r="S1" s="2148"/>
      <c r="T1" s="2148"/>
      <c r="U1" s="2148"/>
      <c r="V1" s="2148"/>
      <c r="W1" s="2148"/>
      <c r="X1" s="2148"/>
      <c r="Y1" s="2148"/>
      <c r="Z1" s="2148"/>
      <c r="AA1" s="2148"/>
      <c r="AB1" s="2148"/>
      <c r="AC1" s="2148"/>
      <c r="AD1" s="2148"/>
      <c r="AE1" s="2148"/>
      <c r="AF1" s="2148"/>
      <c r="AG1" s="2148"/>
      <c r="AH1" s="2148"/>
      <c r="AI1" s="2148"/>
      <c r="AJ1" s="2148"/>
      <c r="AK1" s="2148"/>
      <c r="AL1" s="2148"/>
      <c r="AM1" s="2148"/>
      <c r="AN1" s="358" t="s">
        <v>1</v>
      </c>
      <c r="AO1" s="459" t="s">
        <v>210</v>
      </c>
    </row>
    <row r="2" spans="1:61" s="458" customFormat="1" ht="15" x14ac:dyDescent="0.2">
      <c r="A2" s="2147"/>
      <c r="B2" s="2148"/>
      <c r="C2" s="2148"/>
      <c r="D2" s="2148"/>
      <c r="E2" s="2148"/>
      <c r="F2" s="2148"/>
      <c r="G2" s="2148"/>
      <c r="H2" s="2148"/>
      <c r="I2" s="2148"/>
      <c r="J2" s="2148"/>
      <c r="K2" s="2148"/>
      <c r="L2" s="2148"/>
      <c r="M2" s="2148"/>
      <c r="N2" s="2148"/>
      <c r="O2" s="2148"/>
      <c r="P2" s="2148"/>
      <c r="Q2" s="2148"/>
      <c r="R2" s="2148"/>
      <c r="S2" s="2148"/>
      <c r="T2" s="2148"/>
      <c r="U2" s="2148"/>
      <c r="V2" s="2148"/>
      <c r="W2" s="2148"/>
      <c r="X2" s="2148"/>
      <c r="Y2" s="2148"/>
      <c r="Z2" s="2148"/>
      <c r="AA2" s="2148"/>
      <c r="AB2" s="2148"/>
      <c r="AC2" s="2148"/>
      <c r="AD2" s="2148"/>
      <c r="AE2" s="2148"/>
      <c r="AF2" s="2148"/>
      <c r="AG2" s="2148"/>
      <c r="AH2" s="2148"/>
      <c r="AI2" s="2148"/>
      <c r="AJ2" s="2148"/>
      <c r="AK2" s="2148"/>
      <c r="AL2" s="2148"/>
      <c r="AM2" s="2148"/>
      <c r="AN2" s="361" t="s">
        <v>3</v>
      </c>
      <c r="AO2" s="460">
        <v>6</v>
      </c>
    </row>
    <row r="3" spans="1:61" s="458" customFormat="1" ht="15" x14ac:dyDescent="0.2">
      <c r="A3" s="2147"/>
      <c r="B3" s="2148"/>
      <c r="C3" s="2148"/>
      <c r="D3" s="2148"/>
      <c r="E3" s="2148"/>
      <c r="F3" s="2148"/>
      <c r="G3" s="2148"/>
      <c r="H3" s="2148"/>
      <c r="I3" s="2148"/>
      <c r="J3" s="2148"/>
      <c r="K3" s="2148"/>
      <c r="L3" s="2148"/>
      <c r="M3" s="2148"/>
      <c r="N3" s="2148"/>
      <c r="O3" s="2148"/>
      <c r="P3" s="2148"/>
      <c r="Q3" s="2148"/>
      <c r="R3" s="2148"/>
      <c r="S3" s="2148"/>
      <c r="T3" s="2148"/>
      <c r="U3" s="2148"/>
      <c r="V3" s="2148"/>
      <c r="W3" s="2148"/>
      <c r="X3" s="2148"/>
      <c r="Y3" s="2148"/>
      <c r="Z3" s="2148"/>
      <c r="AA3" s="2148"/>
      <c r="AB3" s="2148"/>
      <c r="AC3" s="2148"/>
      <c r="AD3" s="2148"/>
      <c r="AE3" s="2148"/>
      <c r="AF3" s="2148"/>
      <c r="AG3" s="2148"/>
      <c r="AH3" s="2148"/>
      <c r="AI3" s="2148"/>
      <c r="AJ3" s="2148"/>
      <c r="AK3" s="2148"/>
      <c r="AL3" s="2148"/>
      <c r="AM3" s="2148"/>
      <c r="AN3" s="361" t="s">
        <v>5</v>
      </c>
      <c r="AO3" s="461" t="s">
        <v>6</v>
      </c>
    </row>
    <row r="4" spans="1:61" s="462" customFormat="1" ht="15" x14ac:dyDescent="0.2">
      <c r="A4" s="2149"/>
      <c r="B4" s="2150"/>
      <c r="C4" s="2150"/>
      <c r="D4" s="2150"/>
      <c r="E4" s="2150"/>
      <c r="F4" s="2150"/>
      <c r="G4" s="2150"/>
      <c r="H4" s="2150"/>
      <c r="I4" s="2150"/>
      <c r="J4" s="2150"/>
      <c r="K4" s="2150"/>
      <c r="L4" s="2150"/>
      <c r="M4" s="2150"/>
      <c r="N4" s="2150"/>
      <c r="O4" s="2150"/>
      <c r="P4" s="2150"/>
      <c r="Q4" s="2150"/>
      <c r="R4" s="2150"/>
      <c r="S4" s="2150"/>
      <c r="T4" s="2150"/>
      <c r="U4" s="2150"/>
      <c r="V4" s="2150"/>
      <c r="W4" s="2150"/>
      <c r="X4" s="2150"/>
      <c r="Y4" s="2150"/>
      <c r="Z4" s="2150"/>
      <c r="AA4" s="2150"/>
      <c r="AB4" s="2150"/>
      <c r="AC4" s="2150"/>
      <c r="AD4" s="2150"/>
      <c r="AE4" s="2150"/>
      <c r="AF4" s="2150"/>
      <c r="AG4" s="2150"/>
      <c r="AH4" s="2150"/>
      <c r="AI4" s="2150"/>
      <c r="AJ4" s="2150"/>
      <c r="AK4" s="2150"/>
      <c r="AL4" s="2150"/>
      <c r="AM4" s="2150"/>
      <c r="AN4" s="361" t="s">
        <v>7</v>
      </c>
      <c r="AO4" s="635" t="s">
        <v>287</v>
      </c>
    </row>
    <row r="5" spans="1:61" s="339" customFormat="1" ht="15.75" x14ac:dyDescent="0.2">
      <c r="A5" s="2151" t="s">
        <v>288</v>
      </c>
      <c r="B5" s="2152"/>
      <c r="C5" s="2152"/>
      <c r="D5" s="2152"/>
      <c r="E5" s="2152"/>
      <c r="F5" s="2152"/>
      <c r="G5" s="2152"/>
      <c r="H5" s="2152"/>
      <c r="I5" s="2152"/>
      <c r="J5" s="2152"/>
      <c r="K5" s="2152"/>
      <c r="L5" s="2380" t="s">
        <v>10</v>
      </c>
      <c r="M5" s="2380"/>
      <c r="N5" s="2380"/>
      <c r="O5" s="2380"/>
      <c r="P5" s="2380"/>
      <c r="Q5" s="2380"/>
      <c r="R5" s="2380"/>
      <c r="S5" s="2380"/>
      <c r="T5" s="2380"/>
      <c r="U5" s="2380"/>
      <c r="V5" s="2380"/>
      <c r="W5" s="2380"/>
      <c r="X5" s="2380"/>
      <c r="Y5" s="2380"/>
      <c r="Z5" s="2380"/>
      <c r="AA5" s="2380"/>
      <c r="AB5" s="2380"/>
      <c r="AC5" s="2380"/>
      <c r="AD5" s="2380"/>
      <c r="AE5" s="2380"/>
      <c r="AF5" s="2380"/>
      <c r="AG5" s="2380"/>
      <c r="AH5" s="2380"/>
      <c r="AI5" s="2380"/>
      <c r="AJ5" s="2380"/>
      <c r="AK5" s="2380"/>
      <c r="AL5" s="2380"/>
      <c r="AM5" s="2380"/>
      <c r="AN5" s="2380"/>
      <c r="AO5" s="2381"/>
      <c r="AP5" s="1426"/>
      <c r="AQ5" s="1426"/>
      <c r="AR5" s="1427"/>
      <c r="AS5" s="1427"/>
      <c r="AT5" s="1427"/>
      <c r="AU5" s="1427"/>
      <c r="AV5" s="1427"/>
      <c r="AW5" s="1427"/>
      <c r="AX5" s="1427"/>
      <c r="AY5" s="1427"/>
      <c r="AZ5" s="1427"/>
      <c r="BA5" s="1427"/>
      <c r="BB5" s="1427"/>
      <c r="BC5" s="1427"/>
      <c r="BD5" s="1427"/>
      <c r="BE5" s="1427"/>
      <c r="BF5" s="1427"/>
      <c r="BG5" s="1427"/>
      <c r="BH5" s="1427"/>
      <c r="BI5" s="1427"/>
    </row>
    <row r="6" spans="1:61" s="339" customFormat="1" ht="15.75" x14ac:dyDescent="0.2">
      <c r="A6" s="2153"/>
      <c r="B6" s="2154"/>
      <c r="C6" s="2154"/>
      <c r="D6" s="2154"/>
      <c r="E6" s="2154"/>
      <c r="F6" s="2154"/>
      <c r="G6" s="2154"/>
      <c r="H6" s="2154"/>
      <c r="I6" s="2154"/>
      <c r="J6" s="2154"/>
      <c r="K6" s="2154"/>
      <c r="L6" s="910"/>
      <c r="M6" s="636"/>
      <c r="N6" s="370"/>
      <c r="O6" s="882"/>
      <c r="P6" s="1428"/>
      <c r="Q6" s="882"/>
      <c r="R6" s="882"/>
      <c r="S6" s="882"/>
      <c r="T6" s="882"/>
      <c r="U6" s="882"/>
      <c r="V6" s="882"/>
      <c r="W6" s="2382" t="s">
        <v>11</v>
      </c>
      <c r="X6" s="2154"/>
      <c r="Y6" s="2154"/>
      <c r="Z6" s="2154"/>
      <c r="AA6" s="2154"/>
      <c r="AB6" s="2154"/>
      <c r="AC6" s="2154"/>
      <c r="AD6" s="2154"/>
      <c r="AE6" s="2154"/>
      <c r="AF6" s="2154"/>
      <c r="AG6" s="2154"/>
      <c r="AH6" s="2154"/>
      <c r="AI6" s="2154"/>
      <c r="AJ6" s="2154"/>
      <c r="AK6" s="2154"/>
      <c r="AL6" s="1429"/>
      <c r="AM6" s="373"/>
      <c r="AN6" s="373"/>
      <c r="AO6" s="637"/>
      <c r="AP6" s="1426"/>
      <c r="AQ6" s="1426"/>
      <c r="AR6" s="1427"/>
      <c r="AS6" s="1427"/>
      <c r="AT6" s="1427"/>
      <c r="AU6" s="1427"/>
      <c r="AV6" s="1427"/>
      <c r="AW6" s="1427"/>
      <c r="AX6" s="1427"/>
      <c r="AY6" s="1427"/>
      <c r="AZ6" s="1427"/>
      <c r="BA6" s="1427"/>
      <c r="BB6" s="1427"/>
      <c r="BC6" s="1427"/>
      <c r="BD6" s="1427"/>
      <c r="BE6" s="1427"/>
      <c r="BF6" s="1427"/>
      <c r="BG6" s="1427"/>
      <c r="BH6" s="1427"/>
      <c r="BI6" s="1427"/>
    </row>
    <row r="7" spans="1:61" s="1430" customFormat="1" ht="15.75" x14ac:dyDescent="0.2">
      <c r="A7" s="3332" t="s">
        <v>12</v>
      </c>
      <c r="B7" s="3328" t="s">
        <v>13</v>
      </c>
      <c r="C7" s="2788"/>
      <c r="D7" s="2788" t="s">
        <v>12</v>
      </c>
      <c r="E7" s="3328" t="s">
        <v>14</v>
      </c>
      <c r="F7" s="2788"/>
      <c r="G7" s="2788" t="s">
        <v>12</v>
      </c>
      <c r="H7" s="2788" t="s">
        <v>12</v>
      </c>
      <c r="I7" s="3328" t="s">
        <v>15</v>
      </c>
      <c r="J7" s="3320" t="s">
        <v>16</v>
      </c>
      <c r="K7" s="3328" t="s">
        <v>563</v>
      </c>
      <c r="L7" s="3320" t="s">
        <v>18</v>
      </c>
      <c r="M7" s="3320" t="s">
        <v>19</v>
      </c>
      <c r="N7" s="3320" t="s">
        <v>10</v>
      </c>
      <c r="O7" s="3324" t="s">
        <v>20</v>
      </c>
      <c r="P7" s="3326" t="s">
        <v>21</v>
      </c>
      <c r="Q7" s="3328" t="s">
        <v>22</v>
      </c>
      <c r="R7" s="3328" t="s">
        <v>23</v>
      </c>
      <c r="S7" s="3320" t="s">
        <v>24</v>
      </c>
      <c r="T7" s="3330" t="s">
        <v>21</v>
      </c>
      <c r="U7" s="3318" t="s">
        <v>12</v>
      </c>
      <c r="V7" s="3320" t="s">
        <v>25</v>
      </c>
      <c r="W7" s="2249" t="s">
        <v>26</v>
      </c>
      <c r="X7" s="2249"/>
      <c r="Y7" s="2188" t="s">
        <v>27</v>
      </c>
      <c r="Z7" s="2188"/>
      <c r="AA7" s="2188"/>
      <c r="AB7" s="888"/>
      <c r="AC7" s="2242" t="s">
        <v>28</v>
      </c>
      <c r="AD7" s="2243"/>
      <c r="AE7" s="2243"/>
      <c r="AF7" s="2243"/>
      <c r="AG7" s="2243"/>
      <c r="AH7" s="2243"/>
      <c r="AI7" s="3322" t="s">
        <v>29</v>
      </c>
      <c r="AJ7" s="3323"/>
      <c r="AK7" s="3323"/>
      <c r="AL7" s="2400" t="s">
        <v>30</v>
      </c>
      <c r="AM7" s="2805" t="s">
        <v>31</v>
      </c>
      <c r="AN7" s="2805" t="s">
        <v>32</v>
      </c>
      <c r="AO7" s="3335" t="s">
        <v>33</v>
      </c>
      <c r="AP7" s="1426"/>
      <c r="AQ7" s="1426"/>
      <c r="AR7" s="1426"/>
      <c r="AS7" s="1426"/>
      <c r="AT7" s="1426"/>
      <c r="AU7" s="1426"/>
      <c r="AV7" s="1426"/>
      <c r="AW7" s="1426"/>
      <c r="AX7" s="1426"/>
      <c r="AY7" s="1426"/>
      <c r="AZ7" s="1426"/>
      <c r="BA7" s="1426"/>
      <c r="BB7" s="1426"/>
      <c r="BC7" s="1426"/>
      <c r="BD7" s="1426"/>
      <c r="BE7" s="1426"/>
      <c r="BF7" s="1426"/>
      <c r="BG7" s="1426"/>
      <c r="BH7" s="1426"/>
      <c r="BI7" s="1426"/>
    </row>
    <row r="8" spans="1:61" s="1430" customFormat="1" ht="140.25" customHeight="1" x14ac:dyDescent="0.2">
      <c r="A8" s="3333"/>
      <c r="B8" s="3329"/>
      <c r="C8" s="2789"/>
      <c r="D8" s="2789"/>
      <c r="E8" s="3329"/>
      <c r="F8" s="2789"/>
      <c r="G8" s="2789"/>
      <c r="H8" s="2789"/>
      <c r="I8" s="3329"/>
      <c r="J8" s="3321"/>
      <c r="K8" s="3329"/>
      <c r="L8" s="3321"/>
      <c r="M8" s="3321"/>
      <c r="N8" s="3321"/>
      <c r="O8" s="3325"/>
      <c r="P8" s="3327"/>
      <c r="Q8" s="3329"/>
      <c r="R8" s="3329"/>
      <c r="S8" s="3321"/>
      <c r="T8" s="3331"/>
      <c r="U8" s="3319"/>
      <c r="V8" s="3321"/>
      <c r="W8" s="187" t="s">
        <v>35</v>
      </c>
      <c r="X8" s="187" t="s">
        <v>36</v>
      </c>
      <c r="Y8" s="187" t="s">
        <v>37</v>
      </c>
      <c r="Z8" s="187" t="s">
        <v>38</v>
      </c>
      <c r="AA8" s="187" t="s">
        <v>39</v>
      </c>
      <c r="AB8" s="187" t="s">
        <v>40</v>
      </c>
      <c r="AC8" s="187" t="s">
        <v>41</v>
      </c>
      <c r="AD8" s="187" t="s">
        <v>42</v>
      </c>
      <c r="AE8" s="187" t="s">
        <v>43</v>
      </c>
      <c r="AF8" s="187" t="s">
        <v>44</v>
      </c>
      <c r="AG8" s="187" t="s">
        <v>45</v>
      </c>
      <c r="AH8" s="187" t="s">
        <v>292</v>
      </c>
      <c r="AI8" s="187" t="s">
        <v>47</v>
      </c>
      <c r="AJ8" s="187" t="s">
        <v>48</v>
      </c>
      <c r="AK8" s="1431" t="s">
        <v>49</v>
      </c>
      <c r="AL8" s="2401"/>
      <c r="AM8" s="2806"/>
      <c r="AN8" s="3334"/>
      <c r="AO8" s="3336"/>
      <c r="AP8" s="1426"/>
      <c r="AQ8" s="1426"/>
      <c r="AR8" s="1426"/>
      <c r="AS8" s="1426"/>
      <c r="AT8" s="1426"/>
      <c r="AU8" s="1426"/>
      <c r="AV8" s="1426"/>
      <c r="AW8" s="1426"/>
      <c r="AX8" s="1426"/>
      <c r="AY8" s="1426"/>
      <c r="AZ8" s="1426"/>
      <c r="BA8" s="1426"/>
      <c r="BB8" s="1426"/>
      <c r="BC8" s="1426"/>
      <c r="BD8" s="1426"/>
      <c r="BE8" s="1426"/>
      <c r="BF8" s="1426"/>
      <c r="BG8" s="1426"/>
      <c r="BH8" s="1426"/>
      <c r="BI8" s="1426"/>
    </row>
    <row r="9" spans="1:61" s="4" customFormat="1" ht="15.75" x14ac:dyDescent="0.2">
      <c r="A9" s="190">
        <v>4</v>
      </c>
      <c r="B9" s="380" t="s">
        <v>50</v>
      </c>
      <c r="C9" s="381"/>
      <c r="D9" s="23"/>
      <c r="E9" s="23"/>
      <c r="F9" s="23"/>
      <c r="G9" s="1432"/>
      <c r="H9" s="1433"/>
      <c r="I9" s="33"/>
      <c r="J9" s="23"/>
      <c r="K9" s="23"/>
      <c r="L9" s="23"/>
      <c r="M9" s="26"/>
      <c r="N9" s="24"/>
      <c r="O9" s="27"/>
      <c r="P9" s="28"/>
      <c r="Q9" s="24"/>
      <c r="R9" s="24"/>
      <c r="S9" s="24"/>
      <c r="T9" s="30"/>
      <c r="U9" s="31"/>
      <c r="V9" s="26"/>
      <c r="W9" s="23"/>
      <c r="X9" s="23"/>
      <c r="Y9" s="23"/>
      <c r="Z9" s="23"/>
      <c r="AA9" s="23"/>
      <c r="AB9" s="23"/>
      <c r="AC9" s="23"/>
      <c r="AD9" s="23"/>
      <c r="AE9" s="23"/>
      <c r="AF9" s="23"/>
      <c r="AG9" s="23"/>
      <c r="AH9" s="23"/>
      <c r="AI9" s="23"/>
      <c r="AJ9" s="23"/>
      <c r="AK9" s="23"/>
      <c r="AL9" s="23"/>
      <c r="AM9" s="384"/>
      <c r="AN9" s="384"/>
      <c r="AO9" s="24"/>
      <c r="AP9" s="3"/>
      <c r="AQ9" s="3"/>
      <c r="AR9" s="3"/>
      <c r="AS9" s="3"/>
      <c r="AT9" s="3"/>
      <c r="AU9" s="3"/>
      <c r="AV9" s="3"/>
      <c r="AW9" s="3"/>
      <c r="AX9" s="3"/>
      <c r="AY9" s="3"/>
      <c r="AZ9" s="3"/>
      <c r="BA9" s="3"/>
      <c r="BB9" s="3"/>
      <c r="BC9" s="3"/>
      <c r="BD9" s="3"/>
      <c r="BE9" s="3"/>
      <c r="BF9" s="3"/>
      <c r="BG9" s="3"/>
      <c r="BH9" s="3"/>
      <c r="BI9" s="3"/>
    </row>
    <row r="10" spans="1:61" s="3" customFormat="1" ht="15.75" x14ac:dyDescent="0.2">
      <c r="A10" s="2176"/>
      <c r="B10" s="2177"/>
      <c r="C10" s="2178"/>
      <c r="D10" s="206">
        <v>45</v>
      </c>
      <c r="E10" s="2385" t="s">
        <v>74</v>
      </c>
      <c r="F10" s="2385"/>
      <c r="G10" s="2385"/>
      <c r="H10" s="3099"/>
      <c r="I10" s="2385"/>
      <c r="J10" s="2385"/>
      <c r="K10" s="2385"/>
      <c r="L10" s="2385"/>
      <c r="M10" s="2386"/>
      <c r="N10" s="2385"/>
      <c r="O10" s="2386"/>
      <c r="P10" s="392"/>
      <c r="Q10" s="393"/>
      <c r="R10" s="393"/>
      <c r="S10" s="393"/>
      <c r="T10" s="1434"/>
      <c r="U10" s="1435"/>
      <c r="V10" s="389"/>
      <c r="W10" s="388"/>
      <c r="X10" s="388"/>
      <c r="Y10" s="388"/>
      <c r="Z10" s="388"/>
      <c r="AA10" s="388"/>
      <c r="AB10" s="388"/>
      <c r="AC10" s="388"/>
      <c r="AD10" s="388"/>
      <c r="AE10" s="388"/>
      <c r="AF10" s="388"/>
      <c r="AG10" s="388"/>
      <c r="AH10" s="388"/>
      <c r="AI10" s="388"/>
      <c r="AJ10" s="388"/>
      <c r="AK10" s="388"/>
      <c r="AL10" s="388"/>
      <c r="AM10" s="397"/>
      <c r="AN10" s="397"/>
      <c r="AO10" s="393"/>
    </row>
    <row r="11" spans="1:61" s="3" customFormat="1" ht="30" customHeight="1" x14ac:dyDescent="0.2">
      <c r="A11" s="398"/>
      <c r="B11" s="399"/>
      <c r="C11" s="399"/>
      <c r="D11" s="400"/>
      <c r="E11" s="401"/>
      <c r="F11" s="401"/>
      <c r="G11" s="2206" t="s">
        <v>52</v>
      </c>
      <c r="H11" s="2206" t="s">
        <v>1268</v>
      </c>
      <c r="I11" s="2247" t="s">
        <v>1269</v>
      </c>
      <c r="J11" s="2623" t="s">
        <v>1270</v>
      </c>
      <c r="K11" s="2180">
        <v>1</v>
      </c>
      <c r="L11" s="2324" t="s">
        <v>1271</v>
      </c>
      <c r="M11" s="3311" t="s">
        <v>1272</v>
      </c>
      <c r="N11" s="2247" t="s">
        <v>1273</v>
      </c>
      <c r="O11" s="3313">
        <f>SUM(T11:T16)/P11</f>
        <v>1</v>
      </c>
      <c r="P11" s="3316">
        <f>SUM(T11:T16)</f>
        <v>255021326</v>
      </c>
      <c r="Q11" s="2285" t="s">
        <v>1274</v>
      </c>
      <c r="R11" s="2285" t="s">
        <v>1275</v>
      </c>
      <c r="S11" s="2285" t="s">
        <v>1276</v>
      </c>
      <c r="T11" s="1436">
        <v>21120163</v>
      </c>
      <c r="U11" s="893">
        <v>20</v>
      </c>
      <c r="V11" s="892" t="s">
        <v>70</v>
      </c>
      <c r="W11" s="2271">
        <v>294321</v>
      </c>
      <c r="X11" s="2271">
        <v>283947</v>
      </c>
      <c r="Y11" s="2271">
        <v>135754</v>
      </c>
      <c r="Z11" s="2271">
        <v>44640</v>
      </c>
      <c r="AA11" s="2271">
        <v>308178</v>
      </c>
      <c r="AB11" s="2271">
        <v>89696</v>
      </c>
      <c r="AC11" s="2271">
        <v>2145</v>
      </c>
      <c r="AD11" s="2271">
        <v>12718</v>
      </c>
      <c r="AE11" s="2271">
        <v>26</v>
      </c>
      <c r="AF11" s="2271">
        <v>37</v>
      </c>
      <c r="AG11" s="2271">
        <v>0</v>
      </c>
      <c r="AH11" s="2271">
        <v>0</v>
      </c>
      <c r="AI11" s="2271">
        <v>52505</v>
      </c>
      <c r="AJ11" s="2271">
        <v>16897</v>
      </c>
      <c r="AK11" s="2271">
        <v>61646</v>
      </c>
      <c r="AL11" s="2271">
        <v>578268</v>
      </c>
      <c r="AM11" s="2883">
        <v>44033</v>
      </c>
      <c r="AN11" s="2883">
        <v>44195</v>
      </c>
      <c r="AO11" s="2271" t="s">
        <v>1277</v>
      </c>
      <c r="AP11" s="406"/>
    </row>
    <row r="12" spans="1:61" s="3" customFormat="1" ht="30" customHeight="1" x14ac:dyDescent="0.2">
      <c r="A12" s="398"/>
      <c r="B12" s="399"/>
      <c r="C12" s="399"/>
      <c r="D12" s="398"/>
      <c r="E12" s="399"/>
      <c r="F12" s="399"/>
      <c r="G12" s="2206"/>
      <c r="H12" s="2206"/>
      <c r="I12" s="2247"/>
      <c r="J12" s="2623"/>
      <c r="K12" s="2180"/>
      <c r="L12" s="2324"/>
      <c r="M12" s="3312"/>
      <c r="N12" s="2247"/>
      <c r="O12" s="3314"/>
      <c r="P12" s="3317"/>
      <c r="Q12" s="2286"/>
      <c r="R12" s="2286"/>
      <c r="S12" s="2286"/>
      <c r="T12" s="1437">
        <v>37000000</v>
      </c>
      <c r="U12" s="893">
        <v>20</v>
      </c>
      <c r="V12" s="892" t="s">
        <v>70</v>
      </c>
      <c r="W12" s="2272"/>
      <c r="X12" s="2272"/>
      <c r="Y12" s="2272"/>
      <c r="Z12" s="2272"/>
      <c r="AA12" s="2272"/>
      <c r="AB12" s="2272"/>
      <c r="AC12" s="2272"/>
      <c r="AD12" s="2272"/>
      <c r="AE12" s="2272"/>
      <c r="AF12" s="2272"/>
      <c r="AG12" s="2272"/>
      <c r="AH12" s="2272"/>
      <c r="AI12" s="2272"/>
      <c r="AJ12" s="2272"/>
      <c r="AK12" s="2272"/>
      <c r="AL12" s="2272"/>
      <c r="AM12" s="2884"/>
      <c r="AN12" s="2884"/>
      <c r="AO12" s="2272"/>
      <c r="AP12" s="406"/>
    </row>
    <row r="13" spans="1:61" s="3" customFormat="1" ht="36" customHeight="1" x14ac:dyDescent="0.2">
      <c r="A13" s="398"/>
      <c r="B13" s="399"/>
      <c r="C13" s="399"/>
      <c r="D13" s="398"/>
      <c r="E13" s="399"/>
      <c r="F13" s="399"/>
      <c r="G13" s="2206"/>
      <c r="H13" s="2206"/>
      <c r="I13" s="2247"/>
      <c r="J13" s="2623"/>
      <c r="K13" s="2180"/>
      <c r="L13" s="2324"/>
      <c r="M13" s="3312"/>
      <c r="N13" s="2247"/>
      <c r="O13" s="3314"/>
      <c r="P13" s="2191"/>
      <c r="Q13" s="2286"/>
      <c r="R13" s="2286"/>
      <c r="S13" s="2286"/>
      <c r="T13" s="1437">
        <v>47000000</v>
      </c>
      <c r="U13" s="893">
        <v>88</v>
      </c>
      <c r="V13" s="892" t="s">
        <v>466</v>
      </c>
      <c r="W13" s="2272"/>
      <c r="X13" s="2272"/>
      <c r="Y13" s="2272"/>
      <c r="Z13" s="2272"/>
      <c r="AA13" s="2272"/>
      <c r="AB13" s="2272"/>
      <c r="AC13" s="2272"/>
      <c r="AD13" s="2272"/>
      <c r="AE13" s="2272"/>
      <c r="AF13" s="2272"/>
      <c r="AG13" s="2272"/>
      <c r="AH13" s="2272"/>
      <c r="AI13" s="2272"/>
      <c r="AJ13" s="2272"/>
      <c r="AK13" s="2272"/>
      <c r="AL13" s="2272"/>
      <c r="AM13" s="2884"/>
      <c r="AN13" s="2884"/>
      <c r="AO13" s="2272"/>
      <c r="AP13" s="406"/>
    </row>
    <row r="14" spans="1:61" s="3" customFormat="1" ht="43.5" customHeight="1" x14ac:dyDescent="0.2">
      <c r="A14" s="398"/>
      <c r="B14" s="399"/>
      <c r="C14" s="399"/>
      <c r="D14" s="398"/>
      <c r="E14" s="399"/>
      <c r="F14" s="399"/>
      <c r="G14" s="2206"/>
      <c r="H14" s="2206"/>
      <c r="I14" s="2247"/>
      <c r="J14" s="2623"/>
      <c r="K14" s="2180"/>
      <c r="L14" s="2324"/>
      <c r="M14" s="3312"/>
      <c r="N14" s="2247"/>
      <c r="O14" s="3314"/>
      <c r="P14" s="2191"/>
      <c r="Q14" s="2286"/>
      <c r="R14" s="2634"/>
      <c r="S14" s="2247" t="s">
        <v>1278</v>
      </c>
      <c r="T14" s="1438">
        <v>95781000</v>
      </c>
      <c r="U14" s="893">
        <v>20</v>
      </c>
      <c r="V14" s="892" t="s">
        <v>70</v>
      </c>
      <c r="W14" s="2272"/>
      <c r="X14" s="2272"/>
      <c r="Y14" s="2272"/>
      <c r="Z14" s="2272"/>
      <c r="AA14" s="2272"/>
      <c r="AB14" s="2272"/>
      <c r="AC14" s="2272"/>
      <c r="AD14" s="2272"/>
      <c r="AE14" s="2272"/>
      <c r="AF14" s="2272"/>
      <c r="AG14" s="2272"/>
      <c r="AH14" s="2272"/>
      <c r="AI14" s="2272"/>
      <c r="AJ14" s="2272"/>
      <c r="AK14" s="2272"/>
      <c r="AL14" s="2272"/>
      <c r="AM14" s="2884"/>
      <c r="AN14" s="2884"/>
      <c r="AO14" s="2272"/>
      <c r="AP14" s="406"/>
    </row>
    <row r="15" spans="1:61" s="3" customFormat="1" ht="37.5" customHeight="1" x14ac:dyDescent="0.2">
      <c r="A15" s="398"/>
      <c r="B15" s="399"/>
      <c r="C15" s="399"/>
      <c r="D15" s="398"/>
      <c r="E15" s="399"/>
      <c r="F15" s="399"/>
      <c r="G15" s="2206"/>
      <c r="H15" s="2206"/>
      <c r="I15" s="2247"/>
      <c r="J15" s="2623"/>
      <c r="K15" s="2180"/>
      <c r="L15" s="2324"/>
      <c r="M15" s="3312"/>
      <c r="N15" s="2247"/>
      <c r="O15" s="3314"/>
      <c r="P15" s="2191"/>
      <c r="Q15" s="2286"/>
      <c r="R15" s="2634"/>
      <c r="S15" s="2247"/>
      <c r="T15" s="1439">
        <v>21120163</v>
      </c>
      <c r="U15" s="893">
        <v>20</v>
      </c>
      <c r="V15" s="892" t="s">
        <v>70</v>
      </c>
      <c r="W15" s="2272"/>
      <c r="X15" s="2272"/>
      <c r="Y15" s="2272"/>
      <c r="Z15" s="2272"/>
      <c r="AA15" s="2272"/>
      <c r="AB15" s="2272"/>
      <c r="AC15" s="2272"/>
      <c r="AD15" s="2272"/>
      <c r="AE15" s="2272"/>
      <c r="AF15" s="2272"/>
      <c r="AG15" s="2272"/>
      <c r="AH15" s="2272"/>
      <c r="AI15" s="2272"/>
      <c r="AJ15" s="2272"/>
      <c r="AK15" s="2272"/>
      <c r="AL15" s="2272"/>
      <c r="AM15" s="2884"/>
      <c r="AN15" s="2884"/>
      <c r="AO15" s="2272"/>
      <c r="AP15" s="406"/>
    </row>
    <row r="16" spans="1:61" s="3" customFormat="1" ht="52.5" customHeight="1" x14ac:dyDescent="0.2">
      <c r="A16" s="398"/>
      <c r="B16" s="399"/>
      <c r="C16" s="399"/>
      <c r="D16" s="398"/>
      <c r="E16" s="399"/>
      <c r="F16" s="399"/>
      <c r="G16" s="2206"/>
      <c r="H16" s="2206"/>
      <c r="I16" s="2247"/>
      <c r="J16" s="2623"/>
      <c r="K16" s="2180"/>
      <c r="L16" s="2324"/>
      <c r="M16" s="3312"/>
      <c r="N16" s="2247"/>
      <c r="O16" s="3315"/>
      <c r="P16" s="2191"/>
      <c r="Q16" s="2313"/>
      <c r="R16" s="2635"/>
      <c r="S16" s="2321"/>
      <c r="T16" s="1440">
        <v>33000000</v>
      </c>
      <c r="U16" s="893">
        <v>88</v>
      </c>
      <c r="V16" s="892" t="s">
        <v>466</v>
      </c>
      <c r="W16" s="2273"/>
      <c r="X16" s="2273"/>
      <c r="Y16" s="2273"/>
      <c r="Z16" s="2273"/>
      <c r="AA16" s="2273"/>
      <c r="AB16" s="2273"/>
      <c r="AC16" s="2273"/>
      <c r="AD16" s="2273"/>
      <c r="AE16" s="2273"/>
      <c r="AF16" s="2273"/>
      <c r="AG16" s="2273"/>
      <c r="AH16" s="2273"/>
      <c r="AI16" s="2273"/>
      <c r="AJ16" s="2273"/>
      <c r="AK16" s="2273"/>
      <c r="AL16" s="2273"/>
      <c r="AM16" s="3301"/>
      <c r="AN16" s="3301"/>
      <c r="AO16" s="2273"/>
      <c r="AP16" s="406"/>
    </row>
    <row r="17" spans="1:42" s="3" customFormat="1" ht="39" customHeight="1" x14ac:dyDescent="0.2">
      <c r="A17" s="398"/>
      <c r="B17" s="399"/>
      <c r="C17" s="399"/>
      <c r="D17" s="398"/>
      <c r="E17" s="399"/>
      <c r="F17" s="399"/>
      <c r="G17" s="2206" t="s">
        <v>52</v>
      </c>
      <c r="H17" s="2206" t="s">
        <v>1279</v>
      </c>
      <c r="I17" s="2247" t="s">
        <v>1280</v>
      </c>
      <c r="J17" s="2909" t="s">
        <v>1281</v>
      </c>
      <c r="K17" s="2263">
        <v>1</v>
      </c>
      <c r="L17" s="3310" t="s">
        <v>1282</v>
      </c>
      <c r="M17" s="3287" t="s">
        <v>1283</v>
      </c>
      <c r="N17" s="2247" t="s">
        <v>1284</v>
      </c>
      <c r="O17" s="3302">
        <f>SUM(T17:T21)/P17</f>
        <v>1</v>
      </c>
      <c r="P17" s="3305">
        <f>SUM(T17:T21)</f>
        <v>786246103</v>
      </c>
      <c r="Q17" s="3120" t="s">
        <v>1285</v>
      </c>
      <c r="R17" s="3306" t="s">
        <v>1286</v>
      </c>
      <c r="S17" s="3309" t="s">
        <v>1287</v>
      </c>
      <c r="T17" s="1441">
        <f>94385500+23040714</f>
        <v>117426214</v>
      </c>
      <c r="U17" s="893">
        <v>20</v>
      </c>
      <c r="V17" s="1442" t="s">
        <v>70</v>
      </c>
      <c r="W17" s="2271">
        <v>294321</v>
      </c>
      <c r="X17" s="2271">
        <v>283947</v>
      </c>
      <c r="Y17" s="2271">
        <v>135754</v>
      </c>
      <c r="Z17" s="2271">
        <v>44640</v>
      </c>
      <c r="AA17" s="2271">
        <v>308178</v>
      </c>
      <c r="AB17" s="2271">
        <v>89696</v>
      </c>
      <c r="AC17" s="2271">
        <v>2145</v>
      </c>
      <c r="AD17" s="2271">
        <v>12718</v>
      </c>
      <c r="AE17" s="2271">
        <v>26</v>
      </c>
      <c r="AF17" s="2271">
        <v>37</v>
      </c>
      <c r="AG17" s="2271">
        <v>0</v>
      </c>
      <c r="AH17" s="2271">
        <v>0</v>
      </c>
      <c r="AI17" s="2271">
        <v>52505</v>
      </c>
      <c r="AJ17" s="2271">
        <v>16897</v>
      </c>
      <c r="AK17" s="2271">
        <v>61646</v>
      </c>
      <c r="AL17" s="2271">
        <v>578268</v>
      </c>
      <c r="AM17" s="2883">
        <v>44033</v>
      </c>
      <c r="AN17" s="2883">
        <v>44195</v>
      </c>
      <c r="AO17" s="2271" t="s">
        <v>1277</v>
      </c>
      <c r="AP17" s="406"/>
    </row>
    <row r="18" spans="1:42" s="3" customFormat="1" ht="62.25" customHeight="1" x14ac:dyDescent="0.2">
      <c r="A18" s="398"/>
      <c r="B18" s="399"/>
      <c r="C18" s="399"/>
      <c r="D18" s="398"/>
      <c r="E18" s="399"/>
      <c r="F18" s="399"/>
      <c r="G18" s="2206"/>
      <c r="H18" s="2206"/>
      <c r="I18" s="2247"/>
      <c r="J18" s="2909"/>
      <c r="K18" s="2263"/>
      <c r="L18" s="3310"/>
      <c r="M18" s="3287"/>
      <c r="N18" s="2247"/>
      <c r="O18" s="3303"/>
      <c r="P18" s="3305"/>
      <c r="Q18" s="3121"/>
      <c r="R18" s="3307"/>
      <c r="S18" s="3309"/>
      <c r="T18" s="1441">
        <f>0+300000000+18039437</f>
        <v>318039437</v>
      </c>
      <c r="U18" s="1443">
        <v>88</v>
      </c>
      <c r="V18" s="892" t="s">
        <v>466</v>
      </c>
      <c r="W18" s="2272"/>
      <c r="X18" s="2272"/>
      <c r="Y18" s="2272"/>
      <c r="Z18" s="2272"/>
      <c r="AA18" s="2272"/>
      <c r="AB18" s="2272"/>
      <c r="AC18" s="2272"/>
      <c r="AD18" s="2272"/>
      <c r="AE18" s="2272"/>
      <c r="AF18" s="2272"/>
      <c r="AG18" s="2272"/>
      <c r="AH18" s="2272"/>
      <c r="AI18" s="2272"/>
      <c r="AJ18" s="2272"/>
      <c r="AK18" s="2272"/>
      <c r="AL18" s="2272"/>
      <c r="AM18" s="2884"/>
      <c r="AN18" s="2884"/>
      <c r="AO18" s="2272"/>
      <c r="AP18" s="406"/>
    </row>
    <row r="19" spans="1:42" s="3" customFormat="1" ht="50.25" customHeight="1" x14ac:dyDescent="0.2">
      <c r="A19" s="398"/>
      <c r="B19" s="399"/>
      <c r="C19" s="399"/>
      <c r="D19" s="398"/>
      <c r="E19" s="399"/>
      <c r="F19" s="399"/>
      <c r="G19" s="2206"/>
      <c r="H19" s="2206"/>
      <c r="I19" s="2247"/>
      <c r="J19" s="2909"/>
      <c r="K19" s="2263"/>
      <c r="L19" s="3310"/>
      <c r="M19" s="3287"/>
      <c r="N19" s="2247"/>
      <c r="O19" s="3303"/>
      <c r="P19" s="3305"/>
      <c r="Q19" s="3121"/>
      <c r="R19" s="3307"/>
      <c r="S19" s="1444" t="s">
        <v>1288</v>
      </c>
      <c r="T19" s="1441">
        <v>142973000</v>
      </c>
      <c r="U19" s="893">
        <v>20</v>
      </c>
      <c r="V19" s="892" t="s">
        <v>70</v>
      </c>
      <c r="W19" s="2272"/>
      <c r="X19" s="2272"/>
      <c r="Y19" s="2272"/>
      <c r="Z19" s="2272"/>
      <c r="AA19" s="2272"/>
      <c r="AB19" s="2272"/>
      <c r="AC19" s="2272"/>
      <c r="AD19" s="2272"/>
      <c r="AE19" s="2272"/>
      <c r="AF19" s="2272"/>
      <c r="AG19" s="2272"/>
      <c r="AH19" s="2272"/>
      <c r="AI19" s="2272"/>
      <c r="AJ19" s="2272"/>
      <c r="AK19" s="2272"/>
      <c r="AL19" s="2272"/>
      <c r="AM19" s="2884"/>
      <c r="AN19" s="2884"/>
      <c r="AO19" s="2272"/>
      <c r="AP19" s="406"/>
    </row>
    <row r="20" spans="1:42" s="3" customFormat="1" ht="43.5" customHeight="1" x14ac:dyDescent="0.2">
      <c r="A20" s="398"/>
      <c r="B20" s="399"/>
      <c r="C20" s="399"/>
      <c r="D20" s="398"/>
      <c r="E20" s="399"/>
      <c r="F20" s="399"/>
      <c r="G20" s="2206"/>
      <c r="H20" s="2206"/>
      <c r="I20" s="2247"/>
      <c r="J20" s="2909"/>
      <c r="K20" s="2263"/>
      <c r="L20" s="3310"/>
      <c r="M20" s="3287"/>
      <c r="N20" s="2247"/>
      <c r="O20" s="3303"/>
      <c r="P20" s="3305"/>
      <c r="Q20" s="3121"/>
      <c r="R20" s="3307"/>
      <c r="S20" s="3299" t="s">
        <v>1289</v>
      </c>
      <c r="T20" s="1441">
        <f>94385500-23040714</f>
        <v>71344786</v>
      </c>
      <c r="U20" s="893">
        <v>20</v>
      </c>
      <c r="V20" s="892" t="s">
        <v>70</v>
      </c>
      <c r="W20" s="2272"/>
      <c r="X20" s="2272"/>
      <c r="Y20" s="2272"/>
      <c r="Z20" s="2272"/>
      <c r="AA20" s="2272"/>
      <c r="AB20" s="2272"/>
      <c r="AC20" s="2272"/>
      <c r="AD20" s="2272"/>
      <c r="AE20" s="2272"/>
      <c r="AF20" s="2272"/>
      <c r="AG20" s="2272"/>
      <c r="AH20" s="2272"/>
      <c r="AI20" s="2272"/>
      <c r="AJ20" s="2272"/>
      <c r="AK20" s="2272"/>
      <c r="AL20" s="2272"/>
      <c r="AM20" s="2884"/>
      <c r="AN20" s="2884"/>
      <c r="AO20" s="2272"/>
      <c r="AP20" s="406"/>
    </row>
    <row r="21" spans="1:42" s="3" customFormat="1" ht="46.5" customHeight="1" x14ac:dyDescent="0.2">
      <c r="A21" s="398"/>
      <c r="B21" s="399"/>
      <c r="C21" s="399"/>
      <c r="D21" s="415"/>
      <c r="E21" s="416"/>
      <c r="F21" s="416"/>
      <c r="G21" s="2206"/>
      <c r="H21" s="2206"/>
      <c r="I21" s="2247"/>
      <c r="J21" s="2909"/>
      <c r="K21" s="2263"/>
      <c r="L21" s="3310"/>
      <c r="M21" s="3287"/>
      <c r="N21" s="2247"/>
      <c r="O21" s="3304"/>
      <c r="P21" s="3305"/>
      <c r="Q21" s="3123"/>
      <c r="R21" s="3308"/>
      <c r="S21" s="3299"/>
      <c r="T21" s="1445">
        <v>136462666</v>
      </c>
      <c r="U21" s="1443">
        <v>88</v>
      </c>
      <c r="V21" s="892" t="s">
        <v>466</v>
      </c>
      <c r="W21" s="2273"/>
      <c r="X21" s="2273"/>
      <c r="Y21" s="2273"/>
      <c r="Z21" s="2273"/>
      <c r="AA21" s="2273"/>
      <c r="AB21" s="2273"/>
      <c r="AC21" s="2273"/>
      <c r="AD21" s="2273"/>
      <c r="AE21" s="2273"/>
      <c r="AF21" s="2273"/>
      <c r="AG21" s="2273"/>
      <c r="AH21" s="2273"/>
      <c r="AI21" s="2273"/>
      <c r="AJ21" s="2273"/>
      <c r="AK21" s="2273"/>
      <c r="AL21" s="2273"/>
      <c r="AM21" s="3301"/>
      <c r="AN21" s="3301"/>
      <c r="AO21" s="2273"/>
      <c r="AP21" s="406"/>
    </row>
    <row r="22" spans="1:42" s="4" customFormat="1" ht="15.75" x14ac:dyDescent="0.2">
      <c r="A22" s="2978"/>
      <c r="B22" s="3300"/>
      <c r="C22" s="2980"/>
      <c r="D22" s="509">
        <v>42</v>
      </c>
      <c r="E22" s="1391" t="s">
        <v>51</v>
      </c>
      <c r="F22" s="511"/>
      <c r="G22" s="1446"/>
      <c r="H22" s="1446"/>
      <c r="I22" s="71"/>
      <c r="J22" s="1447"/>
      <c r="K22" s="1392"/>
      <c r="L22" s="1893"/>
      <c r="M22" s="1448"/>
      <c r="N22" s="71"/>
      <c r="O22" s="1449"/>
      <c r="P22" s="1450"/>
      <c r="Q22" s="513"/>
      <c r="R22" s="513"/>
      <c r="S22" s="513"/>
      <c r="T22" s="515"/>
      <c r="U22" s="516"/>
      <c r="V22" s="68"/>
      <c r="W22" s="1392"/>
      <c r="X22" s="1392"/>
      <c r="Y22" s="1392"/>
      <c r="Z22" s="1392"/>
      <c r="AA22" s="1392"/>
      <c r="AB22" s="1392"/>
      <c r="AC22" s="1392"/>
      <c r="AD22" s="1392"/>
      <c r="AE22" s="1392"/>
      <c r="AF22" s="1392"/>
      <c r="AG22" s="1392"/>
      <c r="AH22" s="1392"/>
      <c r="AI22" s="1392"/>
      <c r="AJ22" s="1392"/>
      <c r="AK22" s="1392"/>
      <c r="AL22" s="1392"/>
      <c r="AM22" s="1451"/>
      <c r="AN22" s="1451"/>
      <c r="AO22" s="68"/>
    </row>
    <row r="23" spans="1:42" s="4" customFormat="1" ht="120" x14ac:dyDescent="0.2">
      <c r="A23" s="246"/>
      <c r="B23" s="114"/>
      <c r="C23" s="114"/>
      <c r="D23" s="1099"/>
      <c r="E23" s="1452"/>
      <c r="F23" s="1453"/>
      <c r="G23" s="886" t="s">
        <v>52</v>
      </c>
      <c r="H23" s="886" t="s">
        <v>1290</v>
      </c>
      <c r="I23" s="887" t="s">
        <v>1291</v>
      </c>
      <c r="J23" s="120" t="s">
        <v>1292</v>
      </c>
      <c r="K23" s="902">
        <v>30</v>
      </c>
      <c r="L23" s="1894" t="s">
        <v>1293</v>
      </c>
      <c r="M23" s="903" t="s">
        <v>1294</v>
      </c>
      <c r="N23" s="887" t="s">
        <v>1295</v>
      </c>
      <c r="O23" s="1241">
        <f>+T23/P23</f>
        <v>1</v>
      </c>
      <c r="P23" s="1454">
        <v>60000000</v>
      </c>
      <c r="Q23" s="887" t="s">
        <v>1296</v>
      </c>
      <c r="R23" s="887" t="s">
        <v>1297</v>
      </c>
      <c r="S23" s="887" t="s">
        <v>1298</v>
      </c>
      <c r="T23" s="1455">
        <v>60000000</v>
      </c>
      <c r="U23" s="535">
        <v>20</v>
      </c>
      <c r="V23" s="892" t="s">
        <v>70</v>
      </c>
      <c r="W23" s="118">
        <v>295972</v>
      </c>
      <c r="X23" s="118">
        <v>285580</v>
      </c>
      <c r="Y23" s="118">
        <v>135545</v>
      </c>
      <c r="Z23" s="118">
        <v>44254</v>
      </c>
      <c r="AA23" s="118">
        <v>309146</v>
      </c>
      <c r="AB23" s="118">
        <v>92607</v>
      </c>
      <c r="AC23" s="118">
        <v>2145</v>
      </c>
      <c r="AD23" s="118">
        <v>12718</v>
      </c>
      <c r="AE23" s="118">
        <v>26</v>
      </c>
      <c r="AF23" s="118">
        <v>37</v>
      </c>
      <c r="AG23" s="118"/>
      <c r="AH23" s="118"/>
      <c r="AI23" s="118">
        <v>44350</v>
      </c>
      <c r="AJ23" s="118">
        <v>21944</v>
      </c>
      <c r="AK23" s="118">
        <v>75687</v>
      </c>
      <c r="AL23" s="118">
        <v>581552</v>
      </c>
      <c r="AM23" s="1456">
        <v>44033</v>
      </c>
      <c r="AN23" s="1456">
        <v>44195</v>
      </c>
      <c r="AO23" s="897" t="s">
        <v>1277</v>
      </c>
    </row>
    <row r="24" spans="1:42" s="4" customFormat="1" ht="41.25" customHeight="1" x14ac:dyDescent="0.2">
      <c r="A24" s="323"/>
      <c r="B24" s="247"/>
      <c r="C24" s="247"/>
      <c r="D24" s="855"/>
      <c r="E24" s="273"/>
      <c r="F24" s="856"/>
      <c r="G24" s="856"/>
      <c r="H24" s="856"/>
      <c r="I24" s="333"/>
      <c r="J24" s="855"/>
      <c r="K24" s="299"/>
      <c r="L24" s="856"/>
      <c r="M24" s="1116"/>
      <c r="N24" s="333"/>
      <c r="O24" s="1457"/>
      <c r="P24" s="433">
        <f>SUM(P11:P23)</f>
        <v>1101267429</v>
      </c>
      <c r="Q24" s="333"/>
      <c r="R24" s="333"/>
      <c r="S24" s="333"/>
      <c r="T24" s="1458">
        <f>SUM(T11:T23)</f>
        <v>1101267429</v>
      </c>
      <c r="U24" s="435"/>
      <c r="V24" s="118"/>
      <c r="W24" s="299"/>
      <c r="X24" s="299"/>
      <c r="Y24" s="299"/>
      <c r="Z24" s="299"/>
      <c r="AA24" s="299"/>
      <c r="AB24" s="299"/>
      <c r="AC24" s="299"/>
      <c r="AD24" s="299"/>
      <c r="AE24" s="299"/>
      <c r="AF24" s="299"/>
      <c r="AG24" s="299"/>
      <c r="AH24" s="299"/>
      <c r="AI24" s="299"/>
      <c r="AJ24" s="299"/>
      <c r="AK24" s="299"/>
      <c r="AL24" s="299"/>
      <c r="AM24" s="337"/>
      <c r="AN24" s="338"/>
      <c r="AO24" s="887"/>
    </row>
    <row r="25" spans="1:42" ht="15" x14ac:dyDescent="0.2">
      <c r="A25" s="114"/>
      <c r="B25" s="4"/>
      <c r="C25" s="4"/>
      <c r="D25" s="4"/>
      <c r="E25" s="4"/>
      <c r="F25" s="4"/>
      <c r="G25" s="4"/>
      <c r="H25" s="4"/>
      <c r="I25" s="161"/>
      <c r="J25" s="3"/>
      <c r="K25" s="3"/>
      <c r="L25" s="3"/>
      <c r="M25" s="163"/>
      <c r="N25" s="161"/>
      <c r="O25" s="164"/>
      <c r="P25" s="1459"/>
      <c r="Q25" s="161"/>
      <c r="R25" s="161"/>
      <c r="S25" s="161"/>
      <c r="T25" s="167"/>
      <c r="U25" s="168"/>
      <c r="V25" s="169"/>
      <c r="W25" s="4"/>
      <c r="X25" s="4"/>
      <c r="Y25" s="4"/>
      <c r="Z25" s="4"/>
      <c r="AA25" s="4"/>
      <c r="AB25" s="4"/>
      <c r="AC25" s="4"/>
      <c r="AD25" s="4"/>
      <c r="AE25" s="4"/>
      <c r="AF25" s="4"/>
      <c r="AG25" s="4"/>
      <c r="AH25" s="4"/>
      <c r="AI25" s="4"/>
      <c r="AJ25" s="4"/>
      <c r="AK25" s="4"/>
      <c r="AL25" s="4"/>
      <c r="AM25" s="753"/>
      <c r="AN25" s="172"/>
      <c r="AO25" s="173"/>
    </row>
    <row r="26" spans="1:42" ht="14.25" customHeight="1" x14ac:dyDescent="0.2">
      <c r="S26" s="450"/>
    </row>
    <row r="27" spans="1:42" ht="18" x14ac:dyDescent="0.25">
      <c r="A27" s="1460"/>
      <c r="S27" s="1461"/>
      <c r="T27" s="1462"/>
      <c r="U27" s="1463"/>
      <c r="V27" s="1464"/>
    </row>
    <row r="28" spans="1:42" ht="15" x14ac:dyDescent="0.2">
      <c r="S28" s="1461"/>
      <c r="T28" s="1462"/>
      <c r="U28" s="1463"/>
      <c r="V28" s="1464"/>
    </row>
    <row r="29" spans="1:42" ht="15" x14ac:dyDescent="0.2">
      <c r="B29" s="452"/>
      <c r="C29" s="452"/>
      <c r="D29" s="452"/>
      <c r="E29" s="452"/>
      <c r="F29" s="452"/>
      <c r="G29" s="452"/>
      <c r="S29" s="1461"/>
      <c r="T29" s="1462"/>
      <c r="U29" s="1463"/>
      <c r="V29" s="1464"/>
    </row>
    <row r="30" spans="1:42" ht="15.75" x14ac:dyDescent="0.25">
      <c r="B30" s="2223" t="s">
        <v>1299</v>
      </c>
      <c r="C30" s="2223"/>
      <c r="D30" s="2223"/>
      <c r="E30" s="2223"/>
      <c r="F30" s="2223"/>
      <c r="S30" s="1461"/>
      <c r="T30" s="1462"/>
      <c r="U30" s="1463"/>
      <c r="V30" s="1464"/>
    </row>
    <row r="31" spans="1:42" ht="15.75" x14ac:dyDescent="0.25">
      <c r="B31" s="2223" t="s">
        <v>1300</v>
      </c>
      <c r="C31" s="2223"/>
      <c r="D31" s="2223"/>
      <c r="E31" s="2223"/>
      <c r="F31" s="2223"/>
      <c r="S31" s="1461"/>
      <c r="T31" s="1462"/>
      <c r="U31" s="1463"/>
      <c r="V31" s="1464"/>
    </row>
    <row r="32" spans="1:42" ht="15" x14ac:dyDescent="0.2">
      <c r="B32" s="180"/>
      <c r="C32" s="441"/>
      <c r="D32" s="440"/>
      <c r="E32" s="443"/>
      <c r="F32" s="444"/>
      <c r="S32" s="1461"/>
      <c r="T32" s="1462"/>
      <c r="U32" s="1463"/>
      <c r="V32" s="1464"/>
    </row>
    <row r="33" spans="19:22" ht="15" x14ac:dyDescent="0.2">
      <c r="S33" s="1461"/>
      <c r="T33" s="1462"/>
      <c r="U33" s="1463"/>
      <c r="V33" s="1464"/>
    </row>
    <row r="34" spans="19:22" ht="15.75" x14ac:dyDescent="0.2">
      <c r="S34" s="1461"/>
      <c r="T34" s="1465"/>
      <c r="U34" s="1463"/>
      <c r="V34" s="1464"/>
    </row>
  </sheetData>
  <sheetProtection password="A60F" sheet="1" objects="1" scenarios="1"/>
  <mergeCells count="103">
    <mergeCell ref="A1:AM4"/>
    <mergeCell ref="A5:K6"/>
    <mergeCell ref="L5:AO5"/>
    <mergeCell ref="W6:AK6"/>
    <mergeCell ref="A7:A8"/>
    <mergeCell ref="B7:C8"/>
    <mergeCell ref="D7:D8"/>
    <mergeCell ref="E7:F8"/>
    <mergeCell ref="G7:G8"/>
    <mergeCell ref="H7:H8"/>
    <mergeCell ref="AL7:AL8"/>
    <mergeCell ref="AM7:AM8"/>
    <mergeCell ref="AN7:AN8"/>
    <mergeCell ref="AO7:AO8"/>
    <mergeCell ref="A10:C10"/>
    <mergeCell ref="E10:O10"/>
    <mergeCell ref="U7:U8"/>
    <mergeCell ref="V7:V8"/>
    <mergeCell ref="W7:X7"/>
    <mergeCell ref="Y7:AA7"/>
    <mergeCell ref="AC7:AH7"/>
    <mergeCell ref="AI7:AK7"/>
    <mergeCell ref="O7:O8"/>
    <mergeCell ref="P7:P8"/>
    <mergeCell ref="Q7:Q8"/>
    <mergeCell ref="R7:R8"/>
    <mergeCell ref="S7:S8"/>
    <mergeCell ref="T7:T8"/>
    <mergeCell ref="I7:I8"/>
    <mergeCell ref="J7:J8"/>
    <mergeCell ref="K7:K8"/>
    <mergeCell ref="L7:L8"/>
    <mergeCell ref="M7:M8"/>
    <mergeCell ref="N7:N8"/>
    <mergeCell ref="M11:M16"/>
    <mergeCell ref="N11:N16"/>
    <mergeCell ref="O11:O16"/>
    <mergeCell ref="P11:P16"/>
    <mergeCell ref="Q11:Q16"/>
    <mergeCell ref="R11:R16"/>
    <mergeCell ref="G11:G16"/>
    <mergeCell ref="H11:H16"/>
    <mergeCell ref="I11:I16"/>
    <mergeCell ref="J11:J16"/>
    <mergeCell ref="K11:K16"/>
    <mergeCell ref="L11:L16"/>
    <mergeCell ref="AE11:AE16"/>
    <mergeCell ref="AF11:AF16"/>
    <mergeCell ref="AG11:AG16"/>
    <mergeCell ref="S11:S13"/>
    <mergeCell ref="W11:W16"/>
    <mergeCell ref="X11:X16"/>
    <mergeCell ref="Y11:Y16"/>
    <mergeCell ref="Z11:Z16"/>
    <mergeCell ref="AA11:AA16"/>
    <mergeCell ref="O17:O21"/>
    <mergeCell ref="P17:P21"/>
    <mergeCell ref="Q17:Q21"/>
    <mergeCell ref="R17:R21"/>
    <mergeCell ref="S17:S18"/>
    <mergeCell ref="AN11:AN16"/>
    <mergeCell ref="AO11:AO16"/>
    <mergeCell ref="S14:S16"/>
    <mergeCell ref="G17:G21"/>
    <mergeCell ref="H17:H21"/>
    <mergeCell ref="I17:I21"/>
    <mergeCell ref="J17:J21"/>
    <mergeCell ref="K17:K21"/>
    <mergeCell ref="L17:L21"/>
    <mergeCell ref="M17:M21"/>
    <mergeCell ref="AH11:AH16"/>
    <mergeCell ref="AI11:AI16"/>
    <mergeCell ref="AJ11:AJ16"/>
    <mergeCell ref="AK11:AK16"/>
    <mergeCell ref="AL11:AL16"/>
    <mergeCell ref="AM11:AM16"/>
    <mergeCell ref="AB11:AB16"/>
    <mergeCell ref="AC11:AC16"/>
    <mergeCell ref="AD11:AD16"/>
    <mergeCell ref="AO17:AO21"/>
    <mergeCell ref="S20:S21"/>
    <mergeCell ref="A22:C22"/>
    <mergeCell ref="B30:F30"/>
    <mergeCell ref="B31:F31"/>
    <mergeCell ref="AI17:AI21"/>
    <mergeCell ref="AJ17:AJ21"/>
    <mergeCell ref="AK17:AK21"/>
    <mergeCell ref="AL17:AL21"/>
    <mergeCell ref="AM17:AM21"/>
    <mergeCell ref="AN17:AN21"/>
    <mergeCell ref="AC17:AC21"/>
    <mergeCell ref="AD17:AD21"/>
    <mergeCell ref="AE17:AE21"/>
    <mergeCell ref="AF17:AF21"/>
    <mergeCell ref="AG17:AG21"/>
    <mergeCell ref="AH17:AH21"/>
    <mergeCell ref="W17:W21"/>
    <mergeCell ref="X17:X21"/>
    <mergeCell ref="Y17:Y21"/>
    <mergeCell ref="Z17:Z21"/>
    <mergeCell ref="AA17:AA21"/>
    <mergeCell ref="AB17:AB21"/>
    <mergeCell ref="N17:N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Z199"/>
  <sheetViews>
    <sheetView showGridLines="0" zoomScale="60" zoomScaleNormal="60" workbookViewId="0">
      <selection sqref="A1:AM4"/>
    </sheetView>
  </sheetViews>
  <sheetFormatPr baseColWidth="10" defaultRowHeight="15" x14ac:dyDescent="0.25"/>
  <cols>
    <col min="1" max="1" width="16.7109375" customWidth="1"/>
    <col min="4" max="4" width="17.5703125" customWidth="1"/>
    <col min="7" max="7" width="18.140625" customWidth="1"/>
    <col min="8" max="8" width="16.7109375" customWidth="1"/>
    <col min="9" max="9" width="40.7109375" customWidth="1"/>
    <col min="10" max="10" width="44.140625" customWidth="1"/>
    <col min="11" max="11" width="22.7109375" customWidth="1"/>
    <col min="12" max="12" width="38.42578125" customWidth="1"/>
    <col min="13" max="13" width="30.42578125" customWidth="1"/>
    <col min="14" max="14" width="44.28515625" customWidth="1"/>
    <col min="15" max="15" width="16.42578125" customWidth="1"/>
    <col min="16" max="16" width="31.140625" customWidth="1"/>
    <col min="17" max="17" width="41.5703125" customWidth="1"/>
    <col min="18" max="18" width="42.42578125" customWidth="1"/>
    <col min="19" max="19" width="53.42578125" customWidth="1"/>
    <col min="20" max="20" width="30" customWidth="1"/>
    <col min="21" max="21" width="15.42578125" customWidth="1"/>
    <col min="22" max="22" width="20.7109375" customWidth="1"/>
    <col min="39" max="39" width="17.140625" customWidth="1"/>
    <col min="40" max="40" width="15.7109375" customWidth="1"/>
    <col min="41" max="41" width="25.5703125" customWidth="1"/>
  </cols>
  <sheetData>
    <row r="1" spans="1:48" ht="18" customHeight="1" x14ac:dyDescent="0.25">
      <c r="A1" s="2145" t="s">
        <v>639</v>
      </c>
      <c r="B1" s="2146"/>
      <c r="C1" s="2146"/>
      <c r="D1" s="2146"/>
      <c r="E1" s="2146"/>
      <c r="F1" s="2146"/>
      <c r="G1" s="2146"/>
      <c r="H1" s="2146"/>
      <c r="I1" s="2146"/>
      <c r="J1" s="2146"/>
      <c r="K1" s="2146"/>
      <c r="L1" s="2146"/>
      <c r="M1" s="2146"/>
      <c r="N1" s="2146"/>
      <c r="O1" s="2146"/>
      <c r="P1" s="2146"/>
      <c r="Q1" s="2146"/>
      <c r="R1" s="2146"/>
      <c r="S1" s="2146"/>
      <c r="T1" s="2146"/>
      <c r="U1" s="2146"/>
      <c r="V1" s="2146"/>
      <c r="W1" s="2146"/>
      <c r="X1" s="2146"/>
      <c r="Y1" s="2146"/>
      <c r="Z1" s="2146"/>
      <c r="AA1" s="2146"/>
      <c r="AB1" s="2146"/>
      <c r="AC1" s="2146"/>
      <c r="AD1" s="2146"/>
      <c r="AE1" s="2146"/>
      <c r="AF1" s="2146"/>
      <c r="AG1" s="2146"/>
      <c r="AH1" s="2146"/>
      <c r="AI1" s="2146"/>
      <c r="AJ1" s="2146"/>
      <c r="AK1" s="2146"/>
      <c r="AL1" s="2146"/>
      <c r="AM1" s="2146"/>
      <c r="AN1" s="358" t="s">
        <v>1</v>
      </c>
      <c r="AO1" s="459" t="s">
        <v>210</v>
      </c>
      <c r="AP1" s="180"/>
      <c r="AS1" s="180"/>
      <c r="AT1" s="180"/>
      <c r="AU1" s="180"/>
    </row>
    <row r="2" spans="1:48" x14ac:dyDescent="0.25">
      <c r="A2" s="2147"/>
      <c r="B2" s="3337"/>
      <c r="C2" s="3337"/>
      <c r="D2" s="3337"/>
      <c r="E2" s="3337"/>
      <c r="F2" s="3337"/>
      <c r="G2" s="3337"/>
      <c r="H2" s="3337"/>
      <c r="I2" s="3337"/>
      <c r="J2" s="3337"/>
      <c r="K2" s="3337"/>
      <c r="L2" s="3337"/>
      <c r="M2" s="3337"/>
      <c r="N2" s="3337"/>
      <c r="O2" s="3337"/>
      <c r="P2" s="3337"/>
      <c r="Q2" s="3337"/>
      <c r="R2" s="3337"/>
      <c r="S2" s="3337"/>
      <c r="T2" s="3337"/>
      <c r="U2" s="3337"/>
      <c r="V2" s="3337"/>
      <c r="W2" s="3337"/>
      <c r="X2" s="3337"/>
      <c r="Y2" s="3337"/>
      <c r="Z2" s="3337"/>
      <c r="AA2" s="3337"/>
      <c r="AB2" s="3337"/>
      <c r="AC2" s="3337"/>
      <c r="AD2" s="3337"/>
      <c r="AE2" s="3337"/>
      <c r="AF2" s="3337"/>
      <c r="AG2" s="3337"/>
      <c r="AH2" s="3337"/>
      <c r="AI2" s="3337"/>
      <c r="AJ2" s="3337"/>
      <c r="AK2" s="3337"/>
      <c r="AL2" s="3337"/>
      <c r="AM2" s="3337"/>
      <c r="AN2" s="361" t="s">
        <v>3</v>
      </c>
      <c r="AO2" s="460">
        <v>6</v>
      </c>
      <c r="AP2" s="180"/>
      <c r="AS2" s="180"/>
      <c r="AT2" s="180"/>
      <c r="AU2" s="180"/>
    </row>
    <row r="3" spans="1:48" x14ac:dyDescent="0.25">
      <c r="A3" s="2147"/>
      <c r="B3" s="3337"/>
      <c r="C3" s="3337"/>
      <c r="D3" s="3337"/>
      <c r="E3" s="3337"/>
      <c r="F3" s="3337"/>
      <c r="G3" s="3337"/>
      <c r="H3" s="3337"/>
      <c r="I3" s="3337"/>
      <c r="J3" s="3337"/>
      <c r="K3" s="3337"/>
      <c r="L3" s="3337"/>
      <c r="M3" s="3337"/>
      <c r="N3" s="3337"/>
      <c r="O3" s="3337"/>
      <c r="P3" s="3337"/>
      <c r="Q3" s="3337"/>
      <c r="R3" s="3337"/>
      <c r="S3" s="3337"/>
      <c r="T3" s="3337"/>
      <c r="U3" s="3337"/>
      <c r="V3" s="3337"/>
      <c r="W3" s="3337"/>
      <c r="X3" s="3337"/>
      <c r="Y3" s="3337"/>
      <c r="Z3" s="3337"/>
      <c r="AA3" s="3337"/>
      <c r="AB3" s="3337"/>
      <c r="AC3" s="3337"/>
      <c r="AD3" s="3337"/>
      <c r="AE3" s="3337"/>
      <c r="AF3" s="3337"/>
      <c r="AG3" s="3337"/>
      <c r="AH3" s="3337"/>
      <c r="AI3" s="3337"/>
      <c r="AJ3" s="3337"/>
      <c r="AK3" s="3337"/>
      <c r="AL3" s="3337"/>
      <c r="AM3" s="3337"/>
      <c r="AN3" s="361" t="s">
        <v>5</v>
      </c>
      <c r="AO3" s="461" t="s">
        <v>6</v>
      </c>
      <c r="AP3" s="180"/>
      <c r="AS3" s="180"/>
      <c r="AT3" s="180"/>
      <c r="AU3" s="180"/>
    </row>
    <row r="4" spans="1:48" x14ac:dyDescent="0.25">
      <c r="A4" s="2149"/>
      <c r="B4" s="2150"/>
      <c r="C4" s="2150"/>
      <c r="D4" s="2150"/>
      <c r="E4" s="2150"/>
      <c r="F4" s="2150"/>
      <c r="G4" s="2150"/>
      <c r="H4" s="2150"/>
      <c r="I4" s="2150"/>
      <c r="J4" s="2150"/>
      <c r="K4" s="2150"/>
      <c r="L4" s="2150"/>
      <c r="M4" s="2150"/>
      <c r="N4" s="2150"/>
      <c r="O4" s="2150"/>
      <c r="P4" s="2150"/>
      <c r="Q4" s="2150"/>
      <c r="R4" s="2150"/>
      <c r="S4" s="2150"/>
      <c r="T4" s="2150"/>
      <c r="U4" s="2150"/>
      <c r="V4" s="2150"/>
      <c r="W4" s="2150"/>
      <c r="X4" s="2150"/>
      <c r="Y4" s="2150"/>
      <c r="Z4" s="2150"/>
      <c r="AA4" s="2150"/>
      <c r="AB4" s="2150"/>
      <c r="AC4" s="2150"/>
      <c r="AD4" s="2150"/>
      <c r="AE4" s="2150"/>
      <c r="AF4" s="2150"/>
      <c r="AG4" s="2150"/>
      <c r="AH4" s="2150"/>
      <c r="AI4" s="2150"/>
      <c r="AJ4" s="2150"/>
      <c r="AK4" s="2150"/>
      <c r="AL4" s="2150"/>
      <c r="AM4" s="2150"/>
      <c r="AN4" s="361" t="s">
        <v>7</v>
      </c>
      <c r="AO4" s="635" t="s">
        <v>287</v>
      </c>
      <c r="AP4" s="180"/>
      <c r="AS4" s="180"/>
      <c r="AT4" s="180"/>
      <c r="AU4" s="180"/>
    </row>
    <row r="5" spans="1:48" ht="15.75" x14ac:dyDescent="0.25">
      <c r="A5" s="2151" t="s">
        <v>288</v>
      </c>
      <c r="B5" s="2152"/>
      <c r="C5" s="2152"/>
      <c r="D5" s="2152"/>
      <c r="E5" s="2152"/>
      <c r="F5" s="2152"/>
      <c r="G5" s="2152"/>
      <c r="H5" s="2152"/>
      <c r="I5" s="2152"/>
      <c r="J5" s="2152"/>
      <c r="K5" s="2152"/>
      <c r="L5" s="2380" t="s">
        <v>10</v>
      </c>
      <c r="M5" s="2380"/>
      <c r="N5" s="2380"/>
      <c r="O5" s="2380"/>
      <c r="P5" s="2380"/>
      <c r="Q5" s="2380"/>
      <c r="R5" s="2380"/>
      <c r="S5" s="2380"/>
      <c r="T5" s="2380"/>
      <c r="U5" s="2380"/>
      <c r="V5" s="2380"/>
      <c r="W5" s="2380"/>
      <c r="X5" s="2380"/>
      <c r="Y5" s="2380"/>
      <c r="Z5" s="2380"/>
      <c r="AA5" s="2380"/>
      <c r="AB5" s="2380"/>
      <c r="AC5" s="2380"/>
      <c r="AD5" s="2380"/>
      <c r="AE5" s="2380"/>
      <c r="AF5" s="2380"/>
      <c r="AG5" s="2380"/>
      <c r="AH5" s="2380"/>
      <c r="AI5" s="2380"/>
      <c r="AJ5" s="2380"/>
      <c r="AK5" s="2380"/>
      <c r="AL5" s="2380"/>
      <c r="AM5" s="2380"/>
      <c r="AN5" s="2380"/>
      <c r="AO5" s="2381"/>
      <c r="AP5" s="180"/>
      <c r="AQ5" s="180"/>
      <c r="AR5" s="180"/>
      <c r="AS5" s="180"/>
      <c r="AT5" s="180"/>
      <c r="AU5" s="180"/>
    </row>
    <row r="6" spans="1:48" ht="15.75" x14ac:dyDescent="0.25">
      <c r="A6" s="2153"/>
      <c r="B6" s="2154"/>
      <c r="C6" s="2154"/>
      <c r="D6" s="2154"/>
      <c r="E6" s="2154"/>
      <c r="F6" s="2154"/>
      <c r="G6" s="2154"/>
      <c r="H6" s="2154"/>
      <c r="I6" s="2154"/>
      <c r="J6" s="2154"/>
      <c r="K6" s="2154"/>
      <c r="L6" s="914"/>
      <c r="M6" s="636"/>
      <c r="N6" s="915"/>
      <c r="O6" s="766"/>
      <c r="P6" s="916"/>
      <c r="Q6" s="915"/>
      <c r="R6" s="915"/>
      <c r="S6" s="766"/>
      <c r="T6" s="766"/>
      <c r="U6" s="917"/>
      <c r="V6" s="766"/>
      <c r="W6" s="2382" t="s">
        <v>11</v>
      </c>
      <c r="X6" s="2154"/>
      <c r="Y6" s="2154"/>
      <c r="Z6" s="2154"/>
      <c r="AA6" s="2154"/>
      <c r="AB6" s="2154"/>
      <c r="AC6" s="2154"/>
      <c r="AD6" s="2154"/>
      <c r="AE6" s="2154"/>
      <c r="AF6" s="2154"/>
      <c r="AG6" s="2154"/>
      <c r="AH6" s="2154"/>
      <c r="AI6" s="2154"/>
      <c r="AJ6" s="2154"/>
      <c r="AK6" s="2154"/>
      <c r="AL6" s="372"/>
      <c r="AM6" s="373"/>
      <c r="AN6" s="373"/>
      <c r="AO6" s="637"/>
      <c r="AP6" s="180"/>
      <c r="AQ6" s="180"/>
      <c r="AR6" s="180"/>
      <c r="AS6" s="180"/>
      <c r="AT6" s="180"/>
      <c r="AU6" s="180"/>
    </row>
    <row r="7" spans="1:48" ht="42.75" customHeight="1" x14ac:dyDescent="0.25">
      <c r="A7" s="2158" t="s">
        <v>12</v>
      </c>
      <c r="B7" s="2160" t="s">
        <v>13</v>
      </c>
      <c r="C7" s="2143"/>
      <c r="D7" s="2161" t="s">
        <v>12</v>
      </c>
      <c r="E7" s="2160" t="s">
        <v>14</v>
      </c>
      <c r="F7" s="2160"/>
      <c r="G7" s="3339" t="s">
        <v>12</v>
      </c>
      <c r="H7" s="2143" t="s">
        <v>640</v>
      </c>
      <c r="I7" s="2160" t="s">
        <v>15</v>
      </c>
      <c r="J7" s="2143" t="s">
        <v>16</v>
      </c>
      <c r="K7" s="2143" t="s">
        <v>17</v>
      </c>
      <c r="L7" s="2143" t="s">
        <v>18</v>
      </c>
      <c r="M7" s="2143" t="s">
        <v>19</v>
      </c>
      <c r="N7" s="2143" t="s">
        <v>10</v>
      </c>
      <c r="O7" s="3358" t="s">
        <v>20</v>
      </c>
      <c r="P7" s="2167" t="s">
        <v>21</v>
      </c>
      <c r="Q7" s="3359" t="s">
        <v>22</v>
      </c>
      <c r="R7" s="3359" t="s">
        <v>23</v>
      </c>
      <c r="S7" s="3339" t="s">
        <v>24</v>
      </c>
      <c r="T7" s="3347" t="s">
        <v>21</v>
      </c>
      <c r="U7" s="3345" t="s">
        <v>12</v>
      </c>
      <c r="V7" s="2161" t="s">
        <v>25</v>
      </c>
      <c r="W7" s="2185" t="s">
        <v>26</v>
      </c>
      <c r="X7" s="2186"/>
      <c r="Y7" s="2187" t="s">
        <v>27</v>
      </c>
      <c r="Z7" s="2188"/>
      <c r="AA7" s="2188"/>
      <c r="AB7" s="2188"/>
      <c r="AC7" s="2242" t="s">
        <v>28</v>
      </c>
      <c r="AD7" s="2243"/>
      <c r="AE7" s="2243"/>
      <c r="AF7" s="2243"/>
      <c r="AG7" s="2243"/>
      <c r="AH7" s="2243"/>
      <c r="AI7" s="2187" t="s">
        <v>29</v>
      </c>
      <c r="AJ7" s="2188"/>
      <c r="AK7" s="2188"/>
      <c r="AL7" s="2245" t="s">
        <v>30</v>
      </c>
      <c r="AM7" s="3341" t="s">
        <v>31</v>
      </c>
      <c r="AN7" s="3341" t="s">
        <v>32</v>
      </c>
      <c r="AO7" s="3343" t="s">
        <v>33</v>
      </c>
      <c r="AP7" s="3"/>
      <c r="AQ7" s="3"/>
      <c r="AR7" s="3"/>
      <c r="AS7" s="3"/>
      <c r="AT7" s="3"/>
      <c r="AU7" s="3"/>
      <c r="AV7" s="4"/>
    </row>
    <row r="8" spans="1:48" ht="135" customHeight="1" x14ac:dyDescent="0.25">
      <c r="A8" s="2158"/>
      <c r="B8" s="3338"/>
      <c r="C8" s="3339"/>
      <c r="D8" s="2161"/>
      <c r="E8" s="2160"/>
      <c r="F8" s="2160"/>
      <c r="G8" s="3339"/>
      <c r="H8" s="2143"/>
      <c r="I8" s="2160"/>
      <c r="J8" s="2143"/>
      <c r="K8" s="2449"/>
      <c r="L8" s="2143"/>
      <c r="M8" s="2143"/>
      <c r="N8" s="2143"/>
      <c r="O8" s="3358"/>
      <c r="P8" s="2167"/>
      <c r="Q8" s="3359"/>
      <c r="R8" s="3359"/>
      <c r="S8" s="3339"/>
      <c r="T8" s="3348"/>
      <c r="U8" s="3346"/>
      <c r="V8" s="2163"/>
      <c r="W8" s="1712" t="s">
        <v>35</v>
      </c>
      <c r="X8" s="1713" t="s">
        <v>36</v>
      </c>
      <c r="Y8" s="1712" t="s">
        <v>37</v>
      </c>
      <c r="Z8" s="1712" t="s">
        <v>38</v>
      </c>
      <c r="AA8" s="1712" t="s">
        <v>39</v>
      </c>
      <c r="AB8" s="1712" t="s">
        <v>40</v>
      </c>
      <c r="AC8" s="1712" t="s">
        <v>41</v>
      </c>
      <c r="AD8" s="1712" t="s">
        <v>42</v>
      </c>
      <c r="AE8" s="1712" t="s">
        <v>43</v>
      </c>
      <c r="AF8" s="1712" t="s">
        <v>44</v>
      </c>
      <c r="AG8" s="1712" t="s">
        <v>45</v>
      </c>
      <c r="AH8" s="1712" t="s">
        <v>46</v>
      </c>
      <c r="AI8" s="1712" t="s">
        <v>47</v>
      </c>
      <c r="AJ8" s="1712" t="s">
        <v>48</v>
      </c>
      <c r="AK8" s="1712" t="s">
        <v>49</v>
      </c>
      <c r="AL8" s="3340"/>
      <c r="AM8" s="3342"/>
      <c r="AN8" s="3342"/>
      <c r="AO8" s="3344"/>
      <c r="AP8" s="163"/>
      <c r="AQ8" s="163"/>
      <c r="AR8" s="163"/>
      <c r="AS8" s="163"/>
      <c r="AT8" s="163"/>
      <c r="AU8" s="163"/>
      <c r="AV8" s="170"/>
    </row>
    <row r="9" spans="1:48" ht="13.5" customHeight="1" x14ac:dyDescent="0.25">
      <c r="A9" s="918">
        <v>1</v>
      </c>
      <c r="B9" s="919" t="s">
        <v>641</v>
      </c>
      <c r="C9" s="920"/>
      <c r="D9" s="193"/>
      <c r="E9" s="641"/>
      <c r="F9" s="641"/>
      <c r="G9" s="641"/>
      <c r="H9" s="641"/>
      <c r="I9" s="644"/>
      <c r="J9" s="644"/>
      <c r="K9" s="641"/>
      <c r="L9" s="644"/>
      <c r="M9" s="641"/>
      <c r="N9" s="644"/>
      <c r="O9" s="645"/>
      <c r="P9" s="921"/>
      <c r="Q9" s="644"/>
      <c r="R9" s="644"/>
      <c r="S9" s="643"/>
      <c r="T9" s="921"/>
      <c r="U9" s="922"/>
      <c r="V9" s="922"/>
      <c r="W9" s="641"/>
      <c r="X9" s="641"/>
      <c r="Y9" s="641"/>
      <c r="Z9" s="641"/>
      <c r="AA9" s="641"/>
      <c r="AB9" s="641"/>
      <c r="AC9" s="641"/>
      <c r="AD9" s="641"/>
      <c r="AE9" s="641"/>
      <c r="AF9" s="641"/>
      <c r="AG9" s="641"/>
      <c r="AH9" s="641"/>
      <c r="AI9" s="641"/>
      <c r="AJ9" s="641"/>
      <c r="AK9" s="641"/>
      <c r="AL9" s="641"/>
      <c r="AM9" s="641"/>
      <c r="AN9" s="641"/>
      <c r="AO9" s="641"/>
      <c r="AP9" s="4"/>
      <c r="AQ9" s="4"/>
      <c r="AR9" s="4"/>
      <c r="AS9" s="4"/>
      <c r="AT9" s="4"/>
      <c r="AU9" s="4"/>
      <c r="AV9" s="4"/>
    </row>
    <row r="10" spans="1:48" ht="16.5" customHeight="1" x14ac:dyDescent="0.25">
      <c r="A10" s="923"/>
      <c r="B10" s="923"/>
      <c r="C10" s="923"/>
      <c r="D10" s="924">
        <v>12</v>
      </c>
      <c r="E10" s="207" t="s">
        <v>642</v>
      </c>
      <c r="F10" s="208"/>
      <c r="G10" s="209"/>
      <c r="H10" s="835"/>
      <c r="I10" s="208"/>
      <c r="J10" s="208"/>
      <c r="K10" s="211"/>
      <c r="L10" s="210"/>
      <c r="M10" s="209"/>
      <c r="N10" s="653"/>
      <c r="O10" s="925"/>
      <c r="P10" s="926"/>
      <c r="Q10" s="653"/>
      <c r="R10" s="653"/>
      <c r="S10" s="210"/>
      <c r="T10" s="927"/>
      <c r="U10" s="928"/>
      <c r="V10" s="929"/>
      <c r="W10" s="656"/>
      <c r="X10" s="656"/>
      <c r="Y10" s="656"/>
      <c r="Z10" s="656"/>
      <c r="AA10" s="656"/>
      <c r="AB10" s="656"/>
      <c r="AC10" s="656"/>
      <c r="AD10" s="656"/>
      <c r="AE10" s="656"/>
      <c r="AF10" s="656"/>
      <c r="AG10" s="656"/>
      <c r="AH10" s="656"/>
      <c r="AI10" s="656"/>
      <c r="AJ10" s="656"/>
      <c r="AK10" s="656"/>
      <c r="AL10" s="656"/>
      <c r="AM10" s="656"/>
      <c r="AN10" s="656"/>
      <c r="AO10" s="656"/>
      <c r="AP10" s="4"/>
      <c r="AQ10" s="4"/>
      <c r="AR10" s="4"/>
      <c r="AS10" s="4"/>
      <c r="AT10" s="4"/>
      <c r="AU10" s="4"/>
      <c r="AV10" s="4"/>
    </row>
    <row r="11" spans="1:48" s="755" customFormat="1" ht="105" customHeight="1" x14ac:dyDescent="0.25">
      <c r="A11" s="222"/>
      <c r="B11" s="815"/>
      <c r="C11" s="815"/>
      <c r="D11" s="930"/>
      <c r="E11" s="931"/>
      <c r="F11" s="812"/>
      <c r="G11" s="3349" t="s">
        <v>643</v>
      </c>
      <c r="H11" s="2735">
        <v>12.6</v>
      </c>
      <c r="I11" s="3353" t="s">
        <v>644</v>
      </c>
      <c r="J11" s="3353" t="s">
        <v>645</v>
      </c>
      <c r="K11" s="3355">
        <v>12</v>
      </c>
      <c r="L11" s="3361" t="s">
        <v>646</v>
      </c>
      <c r="M11" s="2601" t="s">
        <v>647</v>
      </c>
      <c r="N11" s="3362" t="s">
        <v>648</v>
      </c>
      <c r="O11" s="2938">
        <v>0.64246548147694005</v>
      </c>
      <c r="P11" s="3363">
        <f>SUM(T11:T19)</f>
        <v>54477635</v>
      </c>
      <c r="Q11" s="3364" t="s">
        <v>649</v>
      </c>
      <c r="R11" s="3375" t="s">
        <v>650</v>
      </c>
      <c r="S11" s="257" t="s">
        <v>651</v>
      </c>
      <c r="T11" s="933">
        <v>12000000</v>
      </c>
      <c r="U11" s="934">
        <v>20</v>
      </c>
      <c r="V11" s="1986" t="s">
        <v>70</v>
      </c>
      <c r="W11" s="3377">
        <v>4500</v>
      </c>
      <c r="X11" s="3360">
        <v>4500</v>
      </c>
      <c r="Y11" s="3360">
        <v>1560</v>
      </c>
      <c r="Z11" s="3360">
        <v>1560</v>
      </c>
      <c r="AA11" s="3360">
        <v>1560</v>
      </c>
      <c r="AB11" s="3360">
        <v>2000</v>
      </c>
      <c r="AC11" s="3360">
        <v>400</v>
      </c>
      <c r="AD11" s="3360">
        <v>400</v>
      </c>
      <c r="AE11" s="3360">
        <v>400</v>
      </c>
      <c r="AF11" s="3360">
        <v>50</v>
      </c>
      <c r="AG11" s="3360">
        <v>50</v>
      </c>
      <c r="AH11" s="3360">
        <v>70</v>
      </c>
      <c r="AI11" s="3360">
        <v>50</v>
      </c>
      <c r="AJ11" s="3360">
        <v>500</v>
      </c>
      <c r="AK11" s="3360">
        <v>400</v>
      </c>
      <c r="AL11" s="3360">
        <v>9000</v>
      </c>
      <c r="AM11" s="2289">
        <v>44033</v>
      </c>
      <c r="AN11" s="3365">
        <v>44195</v>
      </c>
      <c r="AO11" s="3368" t="s">
        <v>652</v>
      </c>
      <c r="AP11" s="58"/>
      <c r="AQ11" s="58"/>
      <c r="AR11" s="58"/>
      <c r="AS11" s="58"/>
      <c r="AT11" s="58"/>
      <c r="AU11" s="58"/>
      <c r="AV11" s="58"/>
    </row>
    <row r="12" spans="1:48" s="755" customFormat="1" ht="60" customHeight="1" x14ac:dyDescent="0.25">
      <c r="A12" s="222"/>
      <c r="B12" s="815"/>
      <c r="C12" s="815"/>
      <c r="D12" s="936"/>
      <c r="E12" s="815"/>
      <c r="F12" s="813"/>
      <c r="G12" s="3350"/>
      <c r="H12" s="3352"/>
      <c r="I12" s="3354"/>
      <c r="J12" s="3354"/>
      <c r="K12" s="3356"/>
      <c r="L12" s="3361"/>
      <c r="M12" s="2601"/>
      <c r="N12" s="3362"/>
      <c r="O12" s="2939"/>
      <c r="P12" s="3363"/>
      <c r="Q12" s="3364"/>
      <c r="R12" s="3376"/>
      <c r="S12" s="3371" t="s">
        <v>653</v>
      </c>
      <c r="T12" s="937">
        <v>10000000</v>
      </c>
      <c r="U12" s="938">
        <v>88</v>
      </c>
      <c r="V12" s="1986" t="s">
        <v>227</v>
      </c>
      <c r="W12" s="3360"/>
      <c r="X12" s="3360"/>
      <c r="Y12" s="3360"/>
      <c r="Z12" s="3360"/>
      <c r="AA12" s="3360"/>
      <c r="AB12" s="3360"/>
      <c r="AC12" s="3360"/>
      <c r="AD12" s="3360"/>
      <c r="AE12" s="3360"/>
      <c r="AF12" s="3360"/>
      <c r="AG12" s="3360"/>
      <c r="AH12" s="3360"/>
      <c r="AI12" s="3360"/>
      <c r="AJ12" s="3360"/>
      <c r="AK12" s="3360"/>
      <c r="AL12" s="3360"/>
      <c r="AM12" s="2290"/>
      <c r="AN12" s="3366"/>
      <c r="AO12" s="3369"/>
      <c r="AP12" s="58"/>
      <c r="AQ12" s="58"/>
      <c r="AR12" s="58"/>
      <c r="AS12" s="58"/>
      <c r="AT12" s="58"/>
      <c r="AU12" s="58"/>
      <c r="AV12" s="58"/>
    </row>
    <row r="13" spans="1:48" s="755" customFormat="1" ht="47.25" customHeight="1" x14ac:dyDescent="0.25">
      <c r="A13" s="222"/>
      <c r="B13" s="815"/>
      <c r="C13" s="815"/>
      <c r="D13" s="936"/>
      <c r="E13" s="815"/>
      <c r="F13" s="813"/>
      <c r="G13" s="3350"/>
      <c r="H13" s="3352"/>
      <c r="I13" s="3354"/>
      <c r="J13" s="3354"/>
      <c r="K13" s="3356"/>
      <c r="L13" s="3361"/>
      <c r="M13" s="2601"/>
      <c r="N13" s="3362"/>
      <c r="O13" s="2939"/>
      <c r="P13" s="3363"/>
      <c r="Q13" s="3364"/>
      <c r="R13" s="3376"/>
      <c r="S13" s="3371"/>
      <c r="T13" s="937">
        <v>10000000</v>
      </c>
      <c r="U13" s="934">
        <v>20</v>
      </c>
      <c r="V13" s="1986" t="s">
        <v>70</v>
      </c>
      <c r="W13" s="3360"/>
      <c r="X13" s="3360"/>
      <c r="Y13" s="3360"/>
      <c r="Z13" s="3360"/>
      <c r="AA13" s="3360"/>
      <c r="AB13" s="3360"/>
      <c r="AC13" s="3360"/>
      <c r="AD13" s="3360"/>
      <c r="AE13" s="3360"/>
      <c r="AF13" s="3360"/>
      <c r="AG13" s="3360"/>
      <c r="AH13" s="3360"/>
      <c r="AI13" s="3360"/>
      <c r="AJ13" s="3360"/>
      <c r="AK13" s="3360"/>
      <c r="AL13" s="3360"/>
      <c r="AM13" s="2290"/>
      <c r="AN13" s="3366"/>
      <c r="AO13" s="3369"/>
      <c r="AP13" s="58"/>
      <c r="AQ13" s="58"/>
      <c r="AR13" s="58"/>
      <c r="AS13" s="58"/>
      <c r="AT13" s="58"/>
      <c r="AU13" s="58"/>
      <c r="AV13" s="58"/>
    </row>
    <row r="14" spans="1:48" s="755" customFormat="1" ht="46.5" customHeight="1" x14ac:dyDescent="0.25">
      <c r="A14" s="222"/>
      <c r="B14" s="815"/>
      <c r="C14" s="815"/>
      <c r="D14" s="936"/>
      <c r="E14" s="815"/>
      <c r="F14" s="813"/>
      <c r="G14" s="3350"/>
      <c r="H14" s="3352"/>
      <c r="I14" s="3354"/>
      <c r="J14" s="3354"/>
      <c r="K14" s="3356"/>
      <c r="L14" s="3361"/>
      <c r="M14" s="2601"/>
      <c r="N14" s="3362"/>
      <c r="O14" s="2939"/>
      <c r="P14" s="3363"/>
      <c r="Q14" s="3364"/>
      <c r="R14" s="3375"/>
      <c r="S14" s="3372" t="s">
        <v>654</v>
      </c>
      <c r="T14" s="939">
        <v>2477635</v>
      </c>
      <c r="U14" s="934">
        <v>20</v>
      </c>
      <c r="V14" s="1986" t="s">
        <v>70</v>
      </c>
      <c r="W14" s="3360"/>
      <c r="X14" s="3360"/>
      <c r="Y14" s="3360"/>
      <c r="Z14" s="3360"/>
      <c r="AA14" s="3360"/>
      <c r="AB14" s="3360"/>
      <c r="AC14" s="3360"/>
      <c r="AD14" s="3360"/>
      <c r="AE14" s="3360"/>
      <c r="AF14" s="3360"/>
      <c r="AG14" s="3360"/>
      <c r="AH14" s="3360"/>
      <c r="AI14" s="3360"/>
      <c r="AJ14" s="3360"/>
      <c r="AK14" s="3360"/>
      <c r="AL14" s="3360"/>
      <c r="AM14" s="2290"/>
      <c r="AN14" s="3366"/>
      <c r="AO14" s="3369"/>
      <c r="AP14" s="58"/>
      <c r="AQ14" s="58"/>
      <c r="AR14" s="58"/>
      <c r="AS14" s="58"/>
      <c r="AT14" s="58"/>
      <c r="AU14" s="58"/>
      <c r="AV14" s="58"/>
    </row>
    <row r="15" spans="1:48" s="755" customFormat="1" ht="54" customHeight="1" x14ac:dyDescent="0.25">
      <c r="A15" s="222"/>
      <c r="B15" s="815"/>
      <c r="C15" s="815"/>
      <c r="D15" s="936"/>
      <c r="E15" s="815"/>
      <c r="F15" s="813"/>
      <c r="G15" s="3351"/>
      <c r="H15" s="3352"/>
      <c r="I15" s="3354"/>
      <c r="J15" s="3354"/>
      <c r="K15" s="3357"/>
      <c r="L15" s="3361"/>
      <c r="M15" s="2601"/>
      <c r="N15" s="3362"/>
      <c r="O15" s="2940"/>
      <c r="P15" s="3363"/>
      <c r="Q15" s="3364"/>
      <c r="R15" s="3375"/>
      <c r="S15" s="3373"/>
      <c r="T15" s="937">
        <v>522365</v>
      </c>
      <c r="U15" s="938">
        <v>88</v>
      </c>
      <c r="V15" s="1986" t="s">
        <v>227</v>
      </c>
      <c r="W15" s="3360"/>
      <c r="X15" s="3360"/>
      <c r="Y15" s="3360"/>
      <c r="Z15" s="3360"/>
      <c r="AA15" s="3360"/>
      <c r="AB15" s="3360"/>
      <c r="AC15" s="3360"/>
      <c r="AD15" s="3360"/>
      <c r="AE15" s="3360"/>
      <c r="AF15" s="3360"/>
      <c r="AG15" s="3360"/>
      <c r="AH15" s="3360"/>
      <c r="AI15" s="3360"/>
      <c r="AJ15" s="3360"/>
      <c r="AK15" s="3360"/>
      <c r="AL15" s="3360"/>
      <c r="AM15" s="2290"/>
      <c r="AN15" s="3366"/>
      <c r="AO15" s="3369"/>
      <c r="AP15" s="58"/>
      <c r="AQ15" s="58"/>
      <c r="AR15" s="58"/>
      <c r="AS15" s="58"/>
      <c r="AT15" s="58"/>
      <c r="AU15" s="58"/>
      <c r="AV15" s="58"/>
    </row>
    <row r="16" spans="1:48" s="755" customFormat="1" ht="77.25" customHeight="1" x14ac:dyDescent="0.25">
      <c r="A16" s="222"/>
      <c r="B16" s="815"/>
      <c r="C16" s="815"/>
      <c r="D16" s="936"/>
      <c r="E16" s="815"/>
      <c r="F16" s="813"/>
      <c r="G16" s="3349">
        <v>1905022</v>
      </c>
      <c r="H16" s="2668">
        <v>12.7</v>
      </c>
      <c r="I16" s="3371" t="s">
        <v>656</v>
      </c>
      <c r="J16" s="2864" t="s">
        <v>657</v>
      </c>
      <c r="K16" s="3374">
        <v>12</v>
      </c>
      <c r="L16" s="3361"/>
      <c r="M16" s="2601"/>
      <c r="N16" s="3362"/>
      <c r="O16" s="2938">
        <v>0.35753451852305995</v>
      </c>
      <c r="P16" s="3363"/>
      <c r="Q16" s="3364"/>
      <c r="R16" s="3376"/>
      <c r="S16" s="940" t="s">
        <v>658</v>
      </c>
      <c r="T16" s="941">
        <v>4000000</v>
      </c>
      <c r="U16" s="942">
        <v>88</v>
      </c>
      <c r="V16" s="1986" t="s">
        <v>227</v>
      </c>
      <c r="W16" s="3360"/>
      <c r="X16" s="3360"/>
      <c r="Y16" s="3360"/>
      <c r="Z16" s="3360"/>
      <c r="AA16" s="3360"/>
      <c r="AB16" s="3360"/>
      <c r="AC16" s="3360"/>
      <c r="AD16" s="3360"/>
      <c r="AE16" s="3360"/>
      <c r="AF16" s="3360"/>
      <c r="AG16" s="3360"/>
      <c r="AH16" s="3360"/>
      <c r="AI16" s="3360"/>
      <c r="AJ16" s="3360"/>
      <c r="AK16" s="3360"/>
      <c r="AL16" s="3360"/>
      <c r="AM16" s="2290"/>
      <c r="AN16" s="3366"/>
      <c r="AO16" s="3369"/>
      <c r="AP16" s="58"/>
      <c r="AQ16" s="58"/>
      <c r="AR16" s="58"/>
      <c r="AS16" s="58"/>
      <c r="AT16" s="58"/>
      <c r="AU16" s="58"/>
      <c r="AV16" s="58"/>
    </row>
    <row r="17" spans="1:41" s="755" customFormat="1" ht="62.25" customHeight="1" x14ac:dyDescent="0.25">
      <c r="A17" s="222"/>
      <c r="B17" s="815"/>
      <c r="C17" s="815"/>
      <c r="D17" s="936"/>
      <c r="E17" s="815"/>
      <c r="F17" s="813"/>
      <c r="G17" s="3350"/>
      <c r="H17" s="2668"/>
      <c r="I17" s="3371"/>
      <c r="J17" s="2864"/>
      <c r="K17" s="3356"/>
      <c r="L17" s="3361"/>
      <c r="M17" s="2601"/>
      <c r="N17" s="3362"/>
      <c r="O17" s="2939"/>
      <c r="P17" s="3363"/>
      <c r="Q17" s="3364"/>
      <c r="R17" s="3376"/>
      <c r="S17" s="943" t="s">
        <v>659</v>
      </c>
      <c r="T17" s="941">
        <v>11000000</v>
      </c>
      <c r="U17" s="942">
        <v>88</v>
      </c>
      <c r="V17" s="1986" t="s">
        <v>227</v>
      </c>
      <c r="W17" s="3360"/>
      <c r="X17" s="3360"/>
      <c r="Y17" s="3360"/>
      <c r="Z17" s="3360"/>
      <c r="AA17" s="3360"/>
      <c r="AB17" s="3360"/>
      <c r="AC17" s="3360"/>
      <c r="AD17" s="3360"/>
      <c r="AE17" s="3360"/>
      <c r="AF17" s="3360"/>
      <c r="AG17" s="3360"/>
      <c r="AH17" s="3360"/>
      <c r="AI17" s="3360"/>
      <c r="AJ17" s="3360"/>
      <c r="AK17" s="3360"/>
      <c r="AL17" s="3360"/>
      <c r="AM17" s="2290"/>
      <c r="AN17" s="3366"/>
      <c r="AO17" s="3369"/>
    </row>
    <row r="18" spans="1:41" s="755" customFormat="1" ht="57.75" customHeight="1" x14ac:dyDescent="0.25">
      <c r="A18" s="222"/>
      <c r="B18" s="815"/>
      <c r="C18" s="815"/>
      <c r="D18" s="936"/>
      <c r="E18" s="815"/>
      <c r="F18" s="813"/>
      <c r="G18" s="3350"/>
      <c r="H18" s="2668"/>
      <c r="I18" s="3371"/>
      <c r="J18" s="2864"/>
      <c r="K18" s="3356"/>
      <c r="L18" s="3361"/>
      <c r="M18" s="2601"/>
      <c r="N18" s="3362"/>
      <c r="O18" s="2939"/>
      <c r="P18" s="3363"/>
      <c r="Q18" s="3364"/>
      <c r="R18" s="3375"/>
      <c r="S18" s="940" t="s">
        <v>660</v>
      </c>
      <c r="T18" s="944">
        <v>4477635</v>
      </c>
      <c r="U18" s="938">
        <v>88</v>
      </c>
      <c r="V18" s="1986" t="s">
        <v>227</v>
      </c>
      <c r="W18" s="3360"/>
      <c r="X18" s="3360"/>
      <c r="Y18" s="3360"/>
      <c r="Z18" s="3360"/>
      <c r="AA18" s="3360"/>
      <c r="AB18" s="3360"/>
      <c r="AC18" s="3360"/>
      <c r="AD18" s="3360"/>
      <c r="AE18" s="3360"/>
      <c r="AF18" s="3360"/>
      <c r="AG18" s="3360"/>
      <c r="AH18" s="3360"/>
      <c r="AI18" s="3360"/>
      <c r="AJ18" s="3360"/>
      <c r="AK18" s="3360"/>
      <c r="AL18" s="3360"/>
      <c r="AM18" s="2290"/>
      <c r="AN18" s="3366"/>
      <c r="AO18" s="3369"/>
    </row>
    <row r="19" spans="1:41" s="755" customFormat="1" ht="51.75" customHeight="1" x14ac:dyDescent="0.25">
      <c r="A19" s="222"/>
      <c r="B19" s="3378"/>
      <c r="C19" s="3378"/>
      <c r="D19" s="945"/>
      <c r="E19" s="3379"/>
      <c r="F19" s="3380"/>
      <c r="G19" s="3351"/>
      <c r="H19" s="2668"/>
      <c r="I19" s="3371"/>
      <c r="J19" s="2864"/>
      <c r="K19" s="3357"/>
      <c r="L19" s="3361"/>
      <c r="M19" s="2601"/>
      <c r="N19" s="3362"/>
      <c r="O19" s="2940"/>
      <c r="P19" s="3363"/>
      <c r="Q19" s="3364"/>
      <c r="R19" s="3375"/>
      <c r="S19" s="943" t="s">
        <v>661</v>
      </c>
      <c r="T19" s="946">
        <v>0</v>
      </c>
      <c r="U19" s="938"/>
      <c r="V19" s="947"/>
      <c r="W19" s="3360"/>
      <c r="X19" s="3360"/>
      <c r="Y19" s="3360"/>
      <c r="Z19" s="3360"/>
      <c r="AA19" s="3360"/>
      <c r="AB19" s="3360"/>
      <c r="AC19" s="3360"/>
      <c r="AD19" s="3360"/>
      <c r="AE19" s="3360"/>
      <c r="AF19" s="3360"/>
      <c r="AG19" s="3360"/>
      <c r="AH19" s="3360"/>
      <c r="AI19" s="3360"/>
      <c r="AJ19" s="3360"/>
      <c r="AK19" s="3360"/>
      <c r="AL19" s="3360"/>
      <c r="AM19" s="2291"/>
      <c r="AN19" s="3367"/>
      <c r="AO19" s="3370"/>
    </row>
    <row r="20" spans="1:41" ht="15.75" x14ac:dyDescent="0.25">
      <c r="A20" s="758"/>
      <c r="B20" s="772"/>
      <c r="C20" s="772"/>
      <c r="D20" s="948">
        <v>25</v>
      </c>
      <c r="E20" s="949" t="s">
        <v>662</v>
      </c>
      <c r="F20" s="950"/>
      <c r="G20" s="951"/>
      <c r="H20" s="952"/>
      <c r="I20" s="542"/>
      <c r="J20" s="542"/>
      <c r="K20" s="529"/>
      <c r="L20" s="1904"/>
      <c r="M20" s="953"/>
      <c r="N20" s="954"/>
      <c r="O20" s="955"/>
      <c r="P20" s="956"/>
      <c r="Q20" s="954"/>
      <c r="R20" s="954"/>
      <c r="S20" s="954"/>
      <c r="T20" s="957"/>
      <c r="U20" s="953"/>
      <c r="V20" s="953"/>
      <c r="W20" s="953"/>
      <c r="X20" s="953"/>
      <c r="Y20" s="953"/>
      <c r="Z20" s="953"/>
      <c r="AA20" s="953"/>
      <c r="AB20" s="953"/>
      <c r="AC20" s="953"/>
      <c r="AD20" s="953"/>
      <c r="AE20" s="953"/>
      <c r="AF20" s="953"/>
      <c r="AG20" s="953"/>
      <c r="AH20" s="953"/>
      <c r="AI20" s="953"/>
      <c r="AJ20" s="953"/>
      <c r="AK20" s="953"/>
      <c r="AL20" s="953"/>
      <c r="AM20" s="953"/>
      <c r="AN20" s="953"/>
      <c r="AO20" s="953"/>
    </row>
    <row r="21" spans="1:41" s="755" customFormat="1" ht="71.25" customHeight="1" x14ac:dyDescent="0.25">
      <c r="A21" s="222"/>
      <c r="B21" s="815"/>
      <c r="C21" s="815"/>
      <c r="D21" s="930"/>
      <c r="E21" s="3381"/>
      <c r="F21" s="3361"/>
      <c r="G21" s="2584">
        <v>3301051</v>
      </c>
      <c r="H21" s="2597">
        <v>25.1</v>
      </c>
      <c r="I21" s="2772" t="s">
        <v>663</v>
      </c>
      <c r="J21" s="2864" t="s">
        <v>664</v>
      </c>
      <c r="K21" s="2872">
        <v>50</v>
      </c>
      <c r="L21" s="2872" t="s">
        <v>665</v>
      </c>
      <c r="M21" s="2668" t="s">
        <v>666</v>
      </c>
      <c r="N21" s="2426" t="s">
        <v>667</v>
      </c>
      <c r="O21" s="2929">
        <f>SUM(T21:T26)/(P21+P61+P86)</f>
        <v>0.41083317790144769</v>
      </c>
      <c r="P21" s="3384">
        <f>SUM(T21:T26)</f>
        <v>47000000</v>
      </c>
      <c r="Q21" s="2772" t="s">
        <v>668</v>
      </c>
      <c r="R21" s="3385" t="s">
        <v>669</v>
      </c>
      <c r="S21" s="958" t="s">
        <v>670</v>
      </c>
      <c r="T21" s="959">
        <v>16000000</v>
      </c>
      <c r="U21" s="934">
        <v>20</v>
      </c>
      <c r="V21" s="1986" t="s">
        <v>70</v>
      </c>
      <c r="W21" s="2668">
        <v>4600</v>
      </c>
      <c r="X21" s="2668">
        <v>3810</v>
      </c>
      <c r="Y21" s="2668">
        <v>0</v>
      </c>
      <c r="Z21" s="2668">
        <v>5300</v>
      </c>
      <c r="AA21" s="2668">
        <v>2900</v>
      </c>
      <c r="AB21" s="2668">
        <v>0</v>
      </c>
      <c r="AC21" s="2668">
        <v>10</v>
      </c>
      <c r="AD21" s="2668">
        <v>6</v>
      </c>
      <c r="AE21" s="2668">
        <v>0</v>
      </c>
      <c r="AF21" s="2668">
        <v>0</v>
      </c>
      <c r="AG21" s="2668">
        <v>0</v>
      </c>
      <c r="AH21" s="2668">
        <v>0</v>
      </c>
      <c r="AI21" s="2668">
        <v>10</v>
      </c>
      <c r="AJ21" s="2668">
        <v>10</v>
      </c>
      <c r="AK21" s="2668">
        <v>10</v>
      </c>
      <c r="AL21" s="2668">
        <v>8410</v>
      </c>
      <c r="AM21" s="3383">
        <v>43832</v>
      </c>
      <c r="AN21" s="3383">
        <v>44195</v>
      </c>
      <c r="AO21" s="2668" t="s">
        <v>652</v>
      </c>
    </row>
    <row r="22" spans="1:41" s="755" customFormat="1" ht="72" customHeight="1" x14ac:dyDescent="0.25">
      <c r="A22" s="222"/>
      <c r="B22" s="815"/>
      <c r="C22" s="815"/>
      <c r="D22" s="936"/>
      <c r="E22" s="3378"/>
      <c r="F22" s="3382"/>
      <c r="G22" s="2584"/>
      <c r="H22" s="2597"/>
      <c r="I22" s="2772"/>
      <c r="J22" s="2864"/>
      <c r="K22" s="2872"/>
      <c r="L22" s="2872"/>
      <c r="M22" s="2668"/>
      <c r="N22" s="2426"/>
      <c r="O22" s="2929"/>
      <c r="P22" s="3384"/>
      <c r="Q22" s="2772"/>
      <c r="R22" s="3385"/>
      <c r="S22" s="958" t="s">
        <v>671</v>
      </c>
      <c r="T22" s="959">
        <v>7000000</v>
      </c>
      <c r="U22" s="934">
        <v>20</v>
      </c>
      <c r="V22" s="1986" t="s">
        <v>70</v>
      </c>
      <c r="W22" s="2668"/>
      <c r="X22" s="2668"/>
      <c r="Y22" s="2668"/>
      <c r="Z22" s="2668"/>
      <c r="AA22" s="2668"/>
      <c r="AB22" s="2668"/>
      <c r="AC22" s="2668"/>
      <c r="AD22" s="2668"/>
      <c r="AE22" s="2668"/>
      <c r="AF22" s="2668"/>
      <c r="AG22" s="2668"/>
      <c r="AH22" s="2668"/>
      <c r="AI22" s="2668"/>
      <c r="AJ22" s="2668"/>
      <c r="AK22" s="2668"/>
      <c r="AL22" s="2668"/>
      <c r="AM22" s="3383"/>
      <c r="AN22" s="3383"/>
      <c r="AO22" s="2668"/>
    </row>
    <row r="23" spans="1:41" s="755" customFormat="1" ht="96" customHeight="1" x14ac:dyDescent="0.25">
      <c r="A23" s="222"/>
      <c r="B23" s="815"/>
      <c r="C23" s="815"/>
      <c r="D23" s="936"/>
      <c r="E23" s="3378"/>
      <c r="F23" s="3382"/>
      <c r="G23" s="2584"/>
      <c r="H23" s="2597"/>
      <c r="I23" s="2772"/>
      <c r="J23" s="2864"/>
      <c r="K23" s="2872"/>
      <c r="L23" s="2872"/>
      <c r="M23" s="2668"/>
      <c r="N23" s="2426"/>
      <c r="O23" s="2929"/>
      <c r="P23" s="3384"/>
      <c r="Q23" s="2772"/>
      <c r="R23" s="3385"/>
      <c r="S23" s="958" t="s">
        <v>672</v>
      </c>
      <c r="T23" s="959">
        <v>8000000</v>
      </c>
      <c r="U23" s="934">
        <v>20</v>
      </c>
      <c r="V23" s="1986" t="s">
        <v>70</v>
      </c>
      <c r="W23" s="2668"/>
      <c r="X23" s="2668"/>
      <c r="Y23" s="2668"/>
      <c r="Z23" s="2668"/>
      <c r="AA23" s="2668"/>
      <c r="AB23" s="2668"/>
      <c r="AC23" s="2668"/>
      <c r="AD23" s="2668"/>
      <c r="AE23" s="2668"/>
      <c r="AF23" s="2668"/>
      <c r="AG23" s="2668"/>
      <c r="AH23" s="2668"/>
      <c r="AI23" s="2668"/>
      <c r="AJ23" s="2668"/>
      <c r="AK23" s="2668"/>
      <c r="AL23" s="2668"/>
      <c r="AM23" s="3383"/>
      <c r="AN23" s="3383"/>
      <c r="AO23" s="2668"/>
    </row>
    <row r="24" spans="1:41" s="755" customFormat="1" ht="73.5" customHeight="1" x14ac:dyDescent="0.25">
      <c r="A24" s="222"/>
      <c r="B24" s="815"/>
      <c r="C24" s="815"/>
      <c r="D24" s="936"/>
      <c r="E24" s="3378"/>
      <c r="F24" s="3382"/>
      <c r="G24" s="2584"/>
      <c r="H24" s="2597"/>
      <c r="I24" s="2772"/>
      <c r="J24" s="2864"/>
      <c r="K24" s="2872"/>
      <c r="L24" s="2872"/>
      <c r="M24" s="2668"/>
      <c r="N24" s="2426"/>
      <c r="O24" s="2929"/>
      <c r="P24" s="3384"/>
      <c r="Q24" s="2772"/>
      <c r="R24" s="3385"/>
      <c r="S24" s="958" t="s">
        <v>673</v>
      </c>
      <c r="T24" s="959">
        <v>7000000</v>
      </c>
      <c r="U24" s="934">
        <v>20</v>
      </c>
      <c r="V24" s="1986" t="s">
        <v>70</v>
      </c>
      <c r="W24" s="2668"/>
      <c r="X24" s="2668"/>
      <c r="Y24" s="2668"/>
      <c r="Z24" s="2668"/>
      <c r="AA24" s="2668"/>
      <c r="AB24" s="2668"/>
      <c r="AC24" s="2668"/>
      <c r="AD24" s="2668"/>
      <c r="AE24" s="2668"/>
      <c r="AF24" s="2668"/>
      <c r="AG24" s="2668"/>
      <c r="AH24" s="2668"/>
      <c r="AI24" s="2668"/>
      <c r="AJ24" s="2668"/>
      <c r="AK24" s="2668"/>
      <c r="AL24" s="2668"/>
      <c r="AM24" s="3383"/>
      <c r="AN24" s="3383"/>
      <c r="AO24" s="2668"/>
    </row>
    <row r="25" spans="1:41" s="755" customFormat="1" ht="81" customHeight="1" x14ac:dyDescent="0.25">
      <c r="A25" s="222"/>
      <c r="B25" s="815"/>
      <c r="C25" s="815"/>
      <c r="D25" s="936"/>
      <c r="E25" s="3378"/>
      <c r="F25" s="3382"/>
      <c r="G25" s="2584"/>
      <c r="H25" s="2597"/>
      <c r="I25" s="2772"/>
      <c r="J25" s="2864"/>
      <c r="K25" s="2872"/>
      <c r="L25" s="2872"/>
      <c r="M25" s="2668"/>
      <c r="N25" s="2426"/>
      <c r="O25" s="2929"/>
      <c r="P25" s="3384"/>
      <c r="Q25" s="2772"/>
      <c r="R25" s="3385"/>
      <c r="S25" s="958" t="s">
        <v>674</v>
      </c>
      <c r="T25" s="959">
        <v>9000000</v>
      </c>
      <c r="U25" s="934">
        <v>20</v>
      </c>
      <c r="V25" s="1986" t="s">
        <v>70</v>
      </c>
      <c r="W25" s="2668"/>
      <c r="X25" s="2668"/>
      <c r="Y25" s="2668"/>
      <c r="Z25" s="2668"/>
      <c r="AA25" s="2668"/>
      <c r="AB25" s="2668"/>
      <c r="AC25" s="2668"/>
      <c r="AD25" s="2668"/>
      <c r="AE25" s="2668"/>
      <c r="AF25" s="2668"/>
      <c r="AG25" s="2668"/>
      <c r="AH25" s="2668"/>
      <c r="AI25" s="2668"/>
      <c r="AJ25" s="2668"/>
      <c r="AK25" s="2668"/>
      <c r="AL25" s="2668"/>
      <c r="AM25" s="3383"/>
      <c r="AN25" s="3383"/>
      <c r="AO25" s="2668"/>
    </row>
    <row r="26" spans="1:41" s="755" customFormat="1" ht="60" customHeight="1" x14ac:dyDescent="0.25">
      <c r="A26" s="222"/>
      <c r="B26" s="815"/>
      <c r="C26" s="815"/>
      <c r="D26" s="945"/>
      <c r="E26" s="3379"/>
      <c r="F26" s="3380"/>
      <c r="G26" s="2584"/>
      <c r="H26" s="2597"/>
      <c r="I26" s="2772"/>
      <c r="J26" s="2864"/>
      <c r="K26" s="2872"/>
      <c r="L26" s="2872"/>
      <c r="M26" s="2668"/>
      <c r="N26" s="2426"/>
      <c r="O26" s="2929"/>
      <c r="P26" s="3384"/>
      <c r="Q26" s="2772"/>
      <c r="R26" s="3385"/>
      <c r="S26" s="962" t="s">
        <v>675</v>
      </c>
      <c r="T26" s="963">
        <v>0</v>
      </c>
      <c r="U26" s="964"/>
      <c r="V26" s="961"/>
      <c r="W26" s="2668"/>
      <c r="X26" s="2668"/>
      <c r="Y26" s="2668"/>
      <c r="Z26" s="2668"/>
      <c r="AA26" s="2668"/>
      <c r="AB26" s="2668"/>
      <c r="AC26" s="2668"/>
      <c r="AD26" s="2668"/>
      <c r="AE26" s="2668"/>
      <c r="AF26" s="2668"/>
      <c r="AG26" s="2668"/>
      <c r="AH26" s="2668"/>
      <c r="AI26" s="2668"/>
      <c r="AJ26" s="2668"/>
      <c r="AK26" s="2668"/>
      <c r="AL26" s="2668"/>
      <c r="AM26" s="3383"/>
      <c r="AN26" s="3383"/>
      <c r="AO26" s="2668"/>
    </row>
    <row r="27" spans="1:41" ht="15.75" x14ac:dyDescent="0.25">
      <c r="A27" s="758"/>
      <c r="B27" s="772"/>
      <c r="C27" s="772"/>
      <c r="D27" s="948">
        <v>36</v>
      </c>
      <c r="E27" s="949" t="s">
        <v>676</v>
      </c>
      <c r="F27" s="949"/>
      <c r="G27" s="965"/>
      <c r="H27" s="965"/>
      <c r="I27" s="260"/>
      <c r="J27" s="260"/>
      <c r="K27" s="707"/>
      <c r="L27" s="965"/>
      <c r="M27" s="268"/>
      <c r="N27" s="260"/>
      <c r="O27" s="966"/>
      <c r="P27" s="967"/>
      <c r="Q27" s="260"/>
      <c r="R27" s="260"/>
      <c r="S27" s="968"/>
      <c r="T27" s="969"/>
      <c r="U27" s="970"/>
      <c r="V27" s="971"/>
      <c r="W27" s="268"/>
      <c r="X27" s="268"/>
      <c r="Y27" s="268"/>
      <c r="Z27" s="268"/>
      <c r="AA27" s="268"/>
      <c r="AB27" s="268"/>
      <c r="AC27" s="268"/>
      <c r="AD27" s="268"/>
      <c r="AE27" s="268"/>
      <c r="AF27" s="268"/>
      <c r="AG27" s="268"/>
      <c r="AH27" s="268"/>
      <c r="AI27" s="268"/>
      <c r="AJ27" s="268"/>
      <c r="AK27" s="268"/>
      <c r="AL27" s="268"/>
      <c r="AM27" s="268"/>
      <c r="AN27" s="268"/>
      <c r="AO27" s="972"/>
    </row>
    <row r="28" spans="1:41" ht="49.5" customHeight="1" x14ac:dyDescent="0.25">
      <c r="A28" s="758"/>
      <c r="B28" s="772"/>
      <c r="C28" s="772"/>
      <c r="D28" s="973"/>
      <c r="E28" s="79"/>
      <c r="F28" s="842"/>
      <c r="G28" s="2325" t="s">
        <v>567</v>
      </c>
      <c r="H28" s="2601">
        <v>36.4</v>
      </c>
      <c r="I28" s="2171" t="s">
        <v>677</v>
      </c>
      <c r="J28" s="2268" t="s">
        <v>678</v>
      </c>
      <c r="K28" s="2260">
        <v>1</v>
      </c>
      <c r="L28" s="2260" t="s">
        <v>679</v>
      </c>
      <c r="M28" s="2191" t="s">
        <v>680</v>
      </c>
      <c r="N28" s="2634" t="s">
        <v>681</v>
      </c>
      <c r="O28" s="2192">
        <v>0.54545454545454541</v>
      </c>
      <c r="P28" s="3386">
        <v>55000000</v>
      </c>
      <c r="Q28" s="2286" t="s">
        <v>682</v>
      </c>
      <c r="R28" s="3076" t="s">
        <v>683</v>
      </c>
      <c r="S28" s="2208" t="s">
        <v>684</v>
      </c>
      <c r="T28" s="974">
        <v>9000000</v>
      </c>
      <c r="U28" s="975">
        <v>88</v>
      </c>
      <c r="V28" s="1986" t="s">
        <v>227</v>
      </c>
      <c r="W28" s="2325">
        <v>2000</v>
      </c>
      <c r="X28" s="2190">
        <v>1900</v>
      </c>
      <c r="Y28" s="2190">
        <v>2500</v>
      </c>
      <c r="Z28" s="2190">
        <v>700</v>
      </c>
      <c r="AA28" s="2190">
        <v>700</v>
      </c>
      <c r="AB28" s="2190">
        <v>0</v>
      </c>
      <c r="AC28" s="2190">
        <v>0</v>
      </c>
      <c r="AD28" s="2190">
        <v>0</v>
      </c>
      <c r="AE28" s="2190">
        <v>0</v>
      </c>
      <c r="AF28" s="2190">
        <v>0</v>
      </c>
      <c r="AG28" s="2190">
        <v>0</v>
      </c>
      <c r="AH28" s="2190">
        <v>0</v>
      </c>
      <c r="AI28" s="2190">
        <v>0</v>
      </c>
      <c r="AJ28" s="2190">
        <v>0</v>
      </c>
      <c r="AK28" s="2190">
        <v>0</v>
      </c>
      <c r="AL28" s="2190">
        <v>3900</v>
      </c>
      <c r="AM28" s="3388">
        <v>43832</v>
      </c>
      <c r="AN28" s="3388">
        <v>44195</v>
      </c>
      <c r="AO28" s="2257" t="s">
        <v>652</v>
      </c>
    </row>
    <row r="29" spans="1:41" ht="73.5" customHeight="1" x14ac:dyDescent="0.25">
      <c r="A29" s="758"/>
      <c r="B29" s="772"/>
      <c r="C29" s="772"/>
      <c r="D29" s="977"/>
      <c r="E29" s="772"/>
      <c r="F29" s="774"/>
      <c r="G29" s="2325"/>
      <c r="H29" s="2601"/>
      <c r="I29" s="2171"/>
      <c r="J29" s="2268"/>
      <c r="K29" s="2260"/>
      <c r="L29" s="2260"/>
      <c r="M29" s="2191"/>
      <c r="N29" s="2634"/>
      <c r="O29" s="2192"/>
      <c r="P29" s="3386"/>
      <c r="Q29" s="2286"/>
      <c r="R29" s="3076"/>
      <c r="S29" s="2208"/>
      <c r="T29" s="974">
        <v>12000000</v>
      </c>
      <c r="U29" s="934">
        <v>20</v>
      </c>
      <c r="V29" s="1986" t="s">
        <v>70</v>
      </c>
      <c r="W29" s="2325"/>
      <c r="X29" s="2190"/>
      <c r="Y29" s="2190"/>
      <c r="Z29" s="2190"/>
      <c r="AA29" s="2190"/>
      <c r="AB29" s="2190"/>
      <c r="AC29" s="2190"/>
      <c r="AD29" s="2190"/>
      <c r="AE29" s="2190"/>
      <c r="AF29" s="2190"/>
      <c r="AG29" s="2190"/>
      <c r="AH29" s="2190"/>
      <c r="AI29" s="2190"/>
      <c r="AJ29" s="2190"/>
      <c r="AK29" s="2190"/>
      <c r="AL29" s="2190"/>
      <c r="AM29" s="3388"/>
      <c r="AN29" s="3388"/>
      <c r="AO29" s="2257"/>
    </row>
    <row r="30" spans="1:41" ht="71.25" customHeight="1" x14ac:dyDescent="0.25">
      <c r="A30" s="758"/>
      <c r="B30" s="772"/>
      <c r="C30" s="772"/>
      <c r="D30" s="977"/>
      <c r="E30" s="772"/>
      <c r="F30" s="774"/>
      <c r="G30" s="2325"/>
      <c r="H30" s="2601"/>
      <c r="I30" s="2171"/>
      <c r="J30" s="2268"/>
      <c r="K30" s="2260"/>
      <c r="L30" s="2260"/>
      <c r="M30" s="2191"/>
      <c r="N30" s="2634"/>
      <c r="O30" s="2192"/>
      <c r="P30" s="3386"/>
      <c r="Q30" s="2286"/>
      <c r="R30" s="3076"/>
      <c r="S30" s="757" t="s">
        <v>685</v>
      </c>
      <c r="T30" s="974">
        <v>9000000</v>
      </c>
      <c r="U30" s="975">
        <v>88</v>
      </c>
      <c r="V30" s="1986" t="s">
        <v>227</v>
      </c>
      <c r="W30" s="2325"/>
      <c r="X30" s="2190"/>
      <c r="Y30" s="2190"/>
      <c r="Z30" s="2190"/>
      <c r="AA30" s="2190"/>
      <c r="AB30" s="2190"/>
      <c r="AC30" s="2190"/>
      <c r="AD30" s="2190"/>
      <c r="AE30" s="2190"/>
      <c r="AF30" s="2190"/>
      <c r="AG30" s="2190"/>
      <c r="AH30" s="2190"/>
      <c r="AI30" s="2190"/>
      <c r="AJ30" s="2190"/>
      <c r="AK30" s="2190"/>
      <c r="AL30" s="2190"/>
      <c r="AM30" s="3388"/>
      <c r="AN30" s="3388"/>
      <c r="AO30" s="2257"/>
    </row>
    <row r="31" spans="1:41" ht="103.5" customHeight="1" x14ac:dyDescent="0.25">
      <c r="A31" s="758"/>
      <c r="B31" s="772"/>
      <c r="C31" s="772"/>
      <c r="D31" s="977"/>
      <c r="E31" s="772"/>
      <c r="F31" s="774"/>
      <c r="G31" s="2204" t="s">
        <v>567</v>
      </c>
      <c r="H31" s="2668">
        <v>36.299999999999997</v>
      </c>
      <c r="I31" s="2208" t="s">
        <v>686</v>
      </c>
      <c r="J31" s="2267" t="s">
        <v>687</v>
      </c>
      <c r="K31" s="2323">
        <v>12</v>
      </c>
      <c r="L31" s="2260"/>
      <c r="M31" s="2191"/>
      <c r="N31" s="2634"/>
      <c r="O31" s="2192">
        <v>0.45454545454545453</v>
      </c>
      <c r="P31" s="3386"/>
      <c r="Q31" s="2286"/>
      <c r="R31" s="3076"/>
      <c r="S31" s="757" t="s">
        <v>688</v>
      </c>
      <c r="T31" s="974">
        <v>3000000</v>
      </c>
      <c r="U31" s="934">
        <v>20</v>
      </c>
      <c r="V31" s="1986" t="s">
        <v>70</v>
      </c>
      <c r="W31" s="2325"/>
      <c r="X31" s="2190"/>
      <c r="Y31" s="2190"/>
      <c r="Z31" s="2190"/>
      <c r="AA31" s="2190"/>
      <c r="AB31" s="2190"/>
      <c r="AC31" s="2190"/>
      <c r="AD31" s="2190"/>
      <c r="AE31" s="2190"/>
      <c r="AF31" s="2190"/>
      <c r="AG31" s="2190"/>
      <c r="AH31" s="2190"/>
      <c r="AI31" s="2190"/>
      <c r="AJ31" s="2190"/>
      <c r="AK31" s="2190"/>
      <c r="AL31" s="2190"/>
      <c r="AM31" s="3388"/>
      <c r="AN31" s="3388"/>
      <c r="AO31" s="2257"/>
    </row>
    <row r="32" spans="1:41" ht="77.25" customHeight="1" x14ac:dyDescent="0.25">
      <c r="A32" s="758"/>
      <c r="B32" s="772"/>
      <c r="C32" s="772"/>
      <c r="D32" s="977"/>
      <c r="E32" s="772"/>
      <c r="F32" s="774"/>
      <c r="G32" s="2204"/>
      <c r="H32" s="2668"/>
      <c r="I32" s="2208"/>
      <c r="J32" s="2267"/>
      <c r="K32" s="2323"/>
      <c r="L32" s="2260"/>
      <c r="M32" s="2191"/>
      <c r="N32" s="2634"/>
      <c r="O32" s="2192"/>
      <c r="P32" s="3386"/>
      <c r="Q32" s="2286"/>
      <c r="R32" s="3076"/>
      <c r="S32" s="757" t="s">
        <v>689</v>
      </c>
      <c r="T32" s="974">
        <v>3720000</v>
      </c>
      <c r="U32" s="934">
        <v>20</v>
      </c>
      <c r="V32" s="1986" t="s">
        <v>70</v>
      </c>
      <c r="W32" s="2325"/>
      <c r="X32" s="2190"/>
      <c r="Y32" s="2190"/>
      <c r="Z32" s="2190"/>
      <c r="AA32" s="2190"/>
      <c r="AB32" s="2190"/>
      <c r="AC32" s="2190"/>
      <c r="AD32" s="2190"/>
      <c r="AE32" s="2190"/>
      <c r="AF32" s="2190"/>
      <c r="AG32" s="2190"/>
      <c r="AH32" s="2190"/>
      <c r="AI32" s="2190"/>
      <c r="AJ32" s="2190"/>
      <c r="AK32" s="2190"/>
      <c r="AL32" s="2190"/>
      <c r="AM32" s="3388"/>
      <c r="AN32" s="3388"/>
      <c r="AO32" s="2257"/>
    </row>
    <row r="33" spans="1:41" ht="57.75" customHeight="1" x14ac:dyDescent="0.25">
      <c r="A33" s="758"/>
      <c r="B33" s="772"/>
      <c r="C33" s="772"/>
      <c r="D33" s="977"/>
      <c r="E33" s="772"/>
      <c r="F33" s="774"/>
      <c r="G33" s="2204"/>
      <c r="H33" s="2668"/>
      <c r="I33" s="2208"/>
      <c r="J33" s="2267"/>
      <c r="K33" s="2323"/>
      <c r="L33" s="2260"/>
      <c r="M33" s="2191"/>
      <c r="N33" s="2634"/>
      <c r="O33" s="2192"/>
      <c r="P33" s="3386"/>
      <c r="Q33" s="2286"/>
      <c r="R33" s="3076"/>
      <c r="S33" s="757" t="s">
        <v>690</v>
      </c>
      <c r="T33" s="974">
        <v>1813333</v>
      </c>
      <c r="U33" s="934">
        <v>20</v>
      </c>
      <c r="V33" s="1986" t="s">
        <v>70</v>
      </c>
      <c r="W33" s="2325"/>
      <c r="X33" s="2190"/>
      <c r="Y33" s="2190"/>
      <c r="Z33" s="2190"/>
      <c r="AA33" s="2190"/>
      <c r="AB33" s="2190"/>
      <c r="AC33" s="2190"/>
      <c r="AD33" s="2190"/>
      <c r="AE33" s="2190"/>
      <c r="AF33" s="2190"/>
      <c r="AG33" s="2190"/>
      <c r="AH33" s="2190"/>
      <c r="AI33" s="2190"/>
      <c r="AJ33" s="2190"/>
      <c r="AK33" s="2190"/>
      <c r="AL33" s="2190"/>
      <c r="AM33" s="3388"/>
      <c r="AN33" s="3388"/>
      <c r="AO33" s="2257"/>
    </row>
    <row r="34" spans="1:41" ht="75" customHeight="1" x14ac:dyDescent="0.25">
      <c r="A34" s="758"/>
      <c r="B34" s="772"/>
      <c r="C34" s="772"/>
      <c r="D34" s="977"/>
      <c r="E34" s="772"/>
      <c r="F34" s="774"/>
      <c r="G34" s="2204"/>
      <c r="H34" s="2668"/>
      <c r="I34" s="2208"/>
      <c r="J34" s="2267"/>
      <c r="K34" s="2323"/>
      <c r="L34" s="2260"/>
      <c r="M34" s="2191"/>
      <c r="N34" s="2634"/>
      <c r="O34" s="2192"/>
      <c r="P34" s="3386"/>
      <c r="Q34" s="2286"/>
      <c r="R34" s="3076"/>
      <c r="S34" s="757" t="s">
        <v>691</v>
      </c>
      <c r="T34" s="974">
        <v>5000000</v>
      </c>
      <c r="U34" s="975">
        <v>88</v>
      </c>
      <c r="V34" s="1986" t="s">
        <v>227</v>
      </c>
      <c r="W34" s="2325"/>
      <c r="X34" s="2190"/>
      <c r="Y34" s="2190"/>
      <c r="Z34" s="2190"/>
      <c r="AA34" s="2190"/>
      <c r="AB34" s="2190"/>
      <c r="AC34" s="2190"/>
      <c r="AD34" s="2190"/>
      <c r="AE34" s="2190"/>
      <c r="AF34" s="2190"/>
      <c r="AG34" s="2190"/>
      <c r="AH34" s="2190"/>
      <c r="AI34" s="2190"/>
      <c r="AJ34" s="2190"/>
      <c r="AK34" s="2190"/>
      <c r="AL34" s="2190"/>
      <c r="AM34" s="3388"/>
      <c r="AN34" s="3388"/>
      <c r="AO34" s="2257"/>
    </row>
    <row r="35" spans="1:41" ht="75" customHeight="1" x14ac:dyDescent="0.25">
      <c r="A35" s="758"/>
      <c r="B35" s="772"/>
      <c r="C35" s="772"/>
      <c r="D35" s="977"/>
      <c r="E35" s="772"/>
      <c r="F35" s="774"/>
      <c r="G35" s="2204"/>
      <c r="H35" s="2668"/>
      <c r="I35" s="2208"/>
      <c r="J35" s="2267"/>
      <c r="K35" s="2323"/>
      <c r="L35" s="2260"/>
      <c r="M35" s="2191"/>
      <c r="N35" s="2634"/>
      <c r="O35" s="2192"/>
      <c r="P35" s="3386"/>
      <c r="Q35" s="2286"/>
      <c r="R35" s="3076"/>
      <c r="S35" s="757" t="s">
        <v>692</v>
      </c>
      <c r="T35" s="974">
        <v>11466667</v>
      </c>
      <c r="U35" s="934">
        <v>20</v>
      </c>
      <c r="V35" s="1986" t="s">
        <v>70</v>
      </c>
      <c r="W35" s="2325"/>
      <c r="X35" s="2190"/>
      <c r="Y35" s="2190"/>
      <c r="Z35" s="2190"/>
      <c r="AA35" s="2190"/>
      <c r="AB35" s="2190"/>
      <c r="AC35" s="2190"/>
      <c r="AD35" s="2190"/>
      <c r="AE35" s="2190"/>
      <c r="AF35" s="2190"/>
      <c r="AG35" s="2190"/>
      <c r="AH35" s="2190"/>
      <c r="AI35" s="2190"/>
      <c r="AJ35" s="2190"/>
      <c r="AK35" s="2190"/>
      <c r="AL35" s="2190"/>
      <c r="AM35" s="3388"/>
      <c r="AN35" s="3388"/>
      <c r="AO35" s="2257"/>
    </row>
    <row r="36" spans="1:41" ht="90" customHeight="1" x14ac:dyDescent="0.25">
      <c r="A36" s="758"/>
      <c r="B36" s="772"/>
      <c r="C36" s="772"/>
      <c r="D36" s="977"/>
      <c r="E36" s="772"/>
      <c r="F36" s="774"/>
      <c r="G36" s="2204"/>
      <c r="H36" s="2668"/>
      <c r="I36" s="2208"/>
      <c r="J36" s="2267"/>
      <c r="K36" s="2323"/>
      <c r="L36" s="2260"/>
      <c r="M36" s="2191"/>
      <c r="N36" s="2634"/>
      <c r="O36" s="2192"/>
      <c r="P36" s="3386"/>
      <c r="Q36" s="2286"/>
      <c r="R36" s="3076"/>
      <c r="S36" s="757" t="s">
        <v>693</v>
      </c>
      <c r="T36" s="974"/>
      <c r="U36" s="975"/>
      <c r="V36" s="976"/>
      <c r="W36" s="2325"/>
      <c r="X36" s="2190"/>
      <c r="Y36" s="2190"/>
      <c r="Z36" s="2190"/>
      <c r="AA36" s="2190"/>
      <c r="AB36" s="2190"/>
      <c r="AC36" s="2190"/>
      <c r="AD36" s="2190"/>
      <c r="AE36" s="2190"/>
      <c r="AF36" s="2190"/>
      <c r="AG36" s="2190"/>
      <c r="AH36" s="2190"/>
      <c r="AI36" s="2190"/>
      <c r="AJ36" s="2190"/>
      <c r="AK36" s="2190"/>
      <c r="AL36" s="2190"/>
      <c r="AM36" s="3388"/>
      <c r="AN36" s="3388"/>
      <c r="AO36" s="2257"/>
    </row>
    <row r="37" spans="1:41" ht="75" customHeight="1" x14ac:dyDescent="0.25">
      <c r="A37" s="758"/>
      <c r="B37" s="2339"/>
      <c r="C37" s="2339"/>
      <c r="D37" s="977"/>
      <c r="E37" s="2339"/>
      <c r="F37" s="2341"/>
      <c r="G37" s="2204"/>
      <c r="H37" s="2668"/>
      <c r="I37" s="2208"/>
      <c r="J37" s="2267"/>
      <c r="K37" s="2323"/>
      <c r="L37" s="2260"/>
      <c r="M37" s="2191"/>
      <c r="N37" s="2634"/>
      <c r="O37" s="2192"/>
      <c r="P37" s="3386"/>
      <c r="Q37" s="2286"/>
      <c r="R37" s="3076"/>
      <c r="S37" s="757" t="s">
        <v>694</v>
      </c>
      <c r="T37" s="978"/>
      <c r="U37" s="975"/>
      <c r="V37" s="976"/>
      <c r="W37" s="2325"/>
      <c r="X37" s="2190"/>
      <c r="Y37" s="2190"/>
      <c r="Z37" s="2190"/>
      <c r="AA37" s="2190"/>
      <c r="AB37" s="2190"/>
      <c r="AC37" s="2190"/>
      <c r="AD37" s="2190"/>
      <c r="AE37" s="2190"/>
      <c r="AF37" s="2190"/>
      <c r="AG37" s="2190"/>
      <c r="AH37" s="2190"/>
      <c r="AI37" s="2190"/>
      <c r="AJ37" s="2190"/>
      <c r="AK37" s="2190"/>
      <c r="AL37" s="2190"/>
      <c r="AM37" s="3388"/>
      <c r="AN37" s="3388"/>
      <c r="AO37" s="2257"/>
    </row>
    <row r="38" spans="1:41" ht="57.75" customHeight="1" x14ac:dyDescent="0.25">
      <c r="A38" s="759"/>
      <c r="B38" s="2339"/>
      <c r="C38" s="2339"/>
      <c r="D38" s="977"/>
      <c r="E38" s="2339"/>
      <c r="F38" s="2341"/>
      <c r="G38" s="2204" t="s">
        <v>567</v>
      </c>
      <c r="H38" s="3387" t="s">
        <v>695</v>
      </c>
      <c r="I38" s="2208" t="s">
        <v>696</v>
      </c>
      <c r="J38" s="2560" t="s">
        <v>697</v>
      </c>
      <c r="K38" s="2323">
        <v>1</v>
      </c>
      <c r="L38" s="2323" t="s">
        <v>698</v>
      </c>
      <c r="M38" s="2204" t="s">
        <v>699</v>
      </c>
      <c r="N38" s="2955" t="s">
        <v>700</v>
      </c>
      <c r="O38" s="2213">
        <v>1</v>
      </c>
      <c r="P38" s="3393">
        <v>79896166</v>
      </c>
      <c r="Q38" s="2247" t="s">
        <v>701</v>
      </c>
      <c r="R38" s="3137" t="s">
        <v>702</v>
      </c>
      <c r="S38" s="757" t="s">
        <v>703</v>
      </c>
      <c r="T38" s="974">
        <v>7000000</v>
      </c>
      <c r="U38" s="975">
        <v>88</v>
      </c>
      <c r="V38" s="1986" t="s">
        <v>227</v>
      </c>
      <c r="W38" s="2325">
        <v>3900</v>
      </c>
      <c r="X38" s="2190">
        <v>3600</v>
      </c>
      <c r="Y38" s="2190">
        <v>2000</v>
      </c>
      <c r="Z38" s="2190">
        <v>4000</v>
      </c>
      <c r="AA38" s="2190">
        <v>1000</v>
      </c>
      <c r="AB38" s="2190">
        <v>500</v>
      </c>
      <c r="AC38" s="2190">
        <v>0</v>
      </c>
      <c r="AD38" s="2190">
        <v>0</v>
      </c>
      <c r="AE38" s="2190">
        <v>0</v>
      </c>
      <c r="AF38" s="2190">
        <v>0</v>
      </c>
      <c r="AG38" s="2190">
        <v>0</v>
      </c>
      <c r="AH38" s="2190">
        <v>0</v>
      </c>
      <c r="AI38" s="2190">
        <v>0</v>
      </c>
      <c r="AJ38" s="2190">
        <v>0</v>
      </c>
      <c r="AK38" s="2190">
        <v>0</v>
      </c>
      <c r="AL38" s="2190">
        <v>7500</v>
      </c>
      <c r="AM38" s="3388">
        <v>43832</v>
      </c>
      <c r="AN38" s="3388">
        <v>44195</v>
      </c>
      <c r="AO38" s="2190" t="s">
        <v>652</v>
      </c>
    </row>
    <row r="39" spans="1:41" ht="65.25" customHeight="1" x14ac:dyDescent="0.25">
      <c r="A39" s="759"/>
      <c r="B39" s="772"/>
      <c r="C39" s="772"/>
      <c r="D39" s="977"/>
      <c r="E39" s="772"/>
      <c r="F39" s="774"/>
      <c r="G39" s="2204"/>
      <c r="H39" s="3387"/>
      <c r="I39" s="2208"/>
      <c r="J39" s="2560"/>
      <c r="K39" s="2323"/>
      <c r="L39" s="2323"/>
      <c r="M39" s="2204"/>
      <c r="N39" s="2955"/>
      <c r="O39" s="2213"/>
      <c r="P39" s="3393"/>
      <c r="Q39" s="2247"/>
      <c r="R39" s="3137"/>
      <c r="S39" s="2322" t="s">
        <v>704</v>
      </c>
      <c r="T39" s="979">
        <v>7000000</v>
      </c>
      <c r="U39" s="980">
        <v>88</v>
      </c>
      <c r="V39" s="1986" t="s">
        <v>227</v>
      </c>
      <c r="W39" s="2326"/>
      <c r="X39" s="2191"/>
      <c r="Y39" s="2191"/>
      <c r="Z39" s="2191"/>
      <c r="AA39" s="2191"/>
      <c r="AB39" s="2191"/>
      <c r="AC39" s="2191"/>
      <c r="AD39" s="2191"/>
      <c r="AE39" s="2191"/>
      <c r="AF39" s="2191"/>
      <c r="AG39" s="2191"/>
      <c r="AH39" s="2191"/>
      <c r="AI39" s="2191"/>
      <c r="AJ39" s="2191"/>
      <c r="AK39" s="2191"/>
      <c r="AL39" s="2191"/>
      <c r="AM39" s="3389"/>
      <c r="AN39" s="3389"/>
      <c r="AO39" s="2191"/>
    </row>
    <row r="40" spans="1:41" ht="38.25" customHeight="1" x14ac:dyDescent="0.25">
      <c r="A40" s="759"/>
      <c r="B40" s="772"/>
      <c r="C40" s="772"/>
      <c r="D40" s="977"/>
      <c r="E40" s="772"/>
      <c r="F40" s="774"/>
      <c r="G40" s="2204"/>
      <c r="H40" s="3387"/>
      <c r="I40" s="2208"/>
      <c r="J40" s="2560"/>
      <c r="K40" s="2323"/>
      <c r="L40" s="2323"/>
      <c r="M40" s="2204"/>
      <c r="N40" s="2955"/>
      <c r="O40" s="2213"/>
      <c r="P40" s="3393"/>
      <c r="Q40" s="2247"/>
      <c r="R40" s="3137"/>
      <c r="S40" s="2378"/>
      <c r="T40" s="974">
        <v>7200000</v>
      </c>
      <c r="U40" s="934">
        <v>20</v>
      </c>
      <c r="V40" s="1986" t="s">
        <v>70</v>
      </c>
      <c r="W40" s="2326"/>
      <c r="X40" s="2191"/>
      <c r="Y40" s="2191"/>
      <c r="Z40" s="2191"/>
      <c r="AA40" s="2191"/>
      <c r="AB40" s="2191"/>
      <c r="AC40" s="2191"/>
      <c r="AD40" s="2191"/>
      <c r="AE40" s="2191"/>
      <c r="AF40" s="2191"/>
      <c r="AG40" s="2191"/>
      <c r="AH40" s="2191"/>
      <c r="AI40" s="2191"/>
      <c r="AJ40" s="2191"/>
      <c r="AK40" s="2191"/>
      <c r="AL40" s="2191"/>
      <c r="AM40" s="3389"/>
      <c r="AN40" s="3389"/>
      <c r="AO40" s="2191"/>
    </row>
    <row r="41" spans="1:41" ht="69.75" customHeight="1" x14ac:dyDescent="0.25">
      <c r="A41" s="759"/>
      <c r="B41" s="772"/>
      <c r="C41" s="772"/>
      <c r="D41" s="977"/>
      <c r="E41" s="772"/>
      <c r="F41" s="774"/>
      <c r="G41" s="2204"/>
      <c r="H41" s="3387"/>
      <c r="I41" s="2208"/>
      <c r="J41" s="2560"/>
      <c r="K41" s="2323"/>
      <c r="L41" s="2323"/>
      <c r="M41" s="2204"/>
      <c r="N41" s="2955"/>
      <c r="O41" s="2213"/>
      <c r="P41" s="3393"/>
      <c r="Q41" s="2247"/>
      <c r="R41" s="3137"/>
      <c r="S41" s="760" t="s">
        <v>705</v>
      </c>
      <c r="T41" s="981">
        <v>31000000</v>
      </c>
      <c r="U41" s="982">
        <v>88</v>
      </c>
      <c r="V41" s="1986" t="s">
        <v>227</v>
      </c>
      <c r="W41" s="2326"/>
      <c r="X41" s="2191"/>
      <c r="Y41" s="2191"/>
      <c r="Z41" s="2191"/>
      <c r="AA41" s="2191"/>
      <c r="AB41" s="2191"/>
      <c r="AC41" s="2191"/>
      <c r="AD41" s="2191"/>
      <c r="AE41" s="2191"/>
      <c r="AF41" s="2191"/>
      <c r="AG41" s="2191"/>
      <c r="AH41" s="2191"/>
      <c r="AI41" s="2191"/>
      <c r="AJ41" s="2191"/>
      <c r="AK41" s="2191"/>
      <c r="AL41" s="2191"/>
      <c r="AM41" s="3389"/>
      <c r="AN41" s="3389"/>
      <c r="AO41" s="2191"/>
    </row>
    <row r="42" spans="1:41" ht="52.5" customHeight="1" x14ac:dyDescent="0.25">
      <c r="A42" s="759"/>
      <c r="B42" s="772"/>
      <c r="C42" s="772"/>
      <c r="D42" s="977"/>
      <c r="E42" s="772"/>
      <c r="F42" s="774"/>
      <c r="G42" s="2204"/>
      <c r="H42" s="3387"/>
      <c r="I42" s="2208"/>
      <c r="J42" s="2560"/>
      <c r="K42" s="2323"/>
      <c r="L42" s="2323"/>
      <c r="M42" s="2204"/>
      <c r="N42" s="2955"/>
      <c r="O42" s="2213"/>
      <c r="P42" s="3393"/>
      <c r="Q42" s="2247"/>
      <c r="R42" s="3137"/>
      <c r="S42" s="757" t="s">
        <v>706</v>
      </c>
      <c r="T42" s="983">
        <v>5000000</v>
      </c>
      <c r="U42" s="982">
        <v>88</v>
      </c>
      <c r="V42" s="1986" t="s">
        <v>227</v>
      </c>
      <c r="W42" s="2326"/>
      <c r="X42" s="2191"/>
      <c r="Y42" s="2191"/>
      <c r="Z42" s="2191"/>
      <c r="AA42" s="2191"/>
      <c r="AB42" s="2191"/>
      <c r="AC42" s="2191"/>
      <c r="AD42" s="2191"/>
      <c r="AE42" s="2191"/>
      <c r="AF42" s="2191"/>
      <c r="AG42" s="2191"/>
      <c r="AH42" s="2191"/>
      <c r="AI42" s="2191"/>
      <c r="AJ42" s="2191"/>
      <c r="AK42" s="2191"/>
      <c r="AL42" s="2191"/>
      <c r="AM42" s="3389"/>
      <c r="AN42" s="3389"/>
      <c r="AO42" s="2191"/>
    </row>
    <row r="43" spans="1:41" ht="107.25" customHeight="1" x14ac:dyDescent="0.25">
      <c r="A43" s="759"/>
      <c r="B43" s="772"/>
      <c r="C43" s="772"/>
      <c r="D43" s="977"/>
      <c r="E43" s="772"/>
      <c r="F43" s="774"/>
      <c r="G43" s="2204"/>
      <c r="H43" s="3387"/>
      <c r="I43" s="2208"/>
      <c r="J43" s="2560"/>
      <c r="K43" s="2323"/>
      <c r="L43" s="2323"/>
      <c r="M43" s="2204"/>
      <c r="N43" s="2955"/>
      <c r="O43" s="2213"/>
      <c r="P43" s="3393"/>
      <c r="Q43" s="2247"/>
      <c r="R43" s="3137"/>
      <c r="S43" s="757" t="s">
        <v>707</v>
      </c>
      <c r="T43" s="984">
        <v>782666</v>
      </c>
      <c r="U43" s="934">
        <v>20</v>
      </c>
      <c r="V43" s="1986" t="s">
        <v>70</v>
      </c>
      <c r="W43" s="2326"/>
      <c r="X43" s="2191"/>
      <c r="Y43" s="2191"/>
      <c r="Z43" s="2191"/>
      <c r="AA43" s="2191"/>
      <c r="AB43" s="2191"/>
      <c r="AC43" s="2191"/>
      <c r="AD43" s="2191"/>
      <c r="AE43" s="2191"/>
      <c r="AF43" s="2191"/>
      <c r="AG43" s="2191"/>
      <c r="AH43" s="2191"/>
      <c r="AI43" s="2191"/>
      <c r="AJ43" s="2191"/>
      <c r="AK43" s="2191"/>
      <c r="AL43" s="2191"/>
      <c r="AM43" s="3389"/>
      <c r="AN43" s="3389"/>
      <c r="AO43" s="2191"/>
    </row>
    <row r="44" spans="1:41" ht="56.25" customHeight="1" x14ac:dyDescent="0.25">
      <c r="A44" s="759"/>
      <c r="B44" s="772"/>
      <c r="C44" s="772"/>
      <c r="D44" s="977"/>
      <c r="E44" s="772"/>
      <c r="F44" s="774"/>
      <c r="G44" s="2204"/>
      <c r="H44" s="3387"/>
      <c r="I44" s="2208"/>
      <c r="J44" s="2560"/>
      <c r="K44" s="2323"/>
      <c r="L44" s="2323"/>
      <c r="M44" s="2204"/>
      <c r="N44" s="2955"/>
      <c r="O44" s="2213"/>
      <c r="P44" s="3393"/>
      <c r="Q44" s="2247"/>
      <c r="R44" s="3137"/>
      <c r="S44" s="757" t="s">
        <v>708</v>
      </c>
      <c r="T44" s="984">
        <v>7460000</v>
      </c>
      <c r="U44" s="934">
        <v>20</v>
      </c>
      <c r="V44" s="1986" t="s">
        <v>70</v>
      </c>
      <c r="W44" s="2326"/>
      <c r="X44" s="2191"/>
      <c r="Y44" s="2191"/>
      <c r="Z44" s="2191"/>
      <c r="AA44" s="2191"/>
      <c r="AB44" s="2191"/>
      <c r="AC44" s="2191"/>
      <c r="AD44" s="2191"/>
      <c r="AE44" s="2191"/>
      <c r="AF44" s="2191"/>
      <c r="AG44" s="2191"/>
      <c r="AH44" s="2191"/>
      <c r="AI44" s="2191"/>
      <c r="AJ44" s="2191"/>
      <c r="AK44" s="2191"/>
      <c r="AL44" s="2191"/>
      <c r="AM44" s="3389"/>
      <c r="AN44" s="3389"/>
      <c r="AO44" s="2191"/>
    </row>
    <row r="45" spans="1:41" ht="66" customHeight="1" x14ac:dyDescent="0.25">
      <c r="A45" s="759"/>
      <c r="B45" s="772"/>
      <c r="C45" s="772"/>
      <c r="D45" s="977"/>
      <c r="E45" s="772"/>
      <c r="F45" s="774"/>
      <c r="G45" s="2204"/>
      <c r="H45" s="3387"/>
      <c r="I45" s="2208"/>
      <c r="J45" s="2560"/>
      <c r="K45" s="2323"/>
      <c r="L45" s="2323"/>
      <c r="M45" s="2204"/>
      <c r="N45" s="2955"/>
      <c r="O45" s="2213"/>
      <c r="P45" s="3393"/>
      <c r="Q45" s="2247"/>
      <c r="R45" s="3137"/>
      <c r="S45" s="757" t="s">
        <v>709</v>
      </c>
      <c r="T45" s="983">
        <v>5500000</v>
      </c>
      <c r="U45" s="934">
        <v>20</v>
      </c>
      <c r="V45" s="1986" t="s">
        <v>70</v>
      </c>
      <c r="W45" s="2326"/>
      <c r="X45" s="2191"/>
      <c r="Y45" s="2191"/>
      <c r="Z45" s="2191"/>
      <c r="AA45" s="2191"/>
      <c r="AB45" s="2191"/>
      <c r="AC45" s="2191"/>
      <c r="AD45" s="2191"/>
      <c r="AE45" s="2191"/>
      <c r="AF45" s="2191"/>
      <c r="AG45" s="2191"/>
      <c r="AH45" s="2191"/>
      <c r="AI45" s="2191"/>
      <c r="AJ45" s="2191"/>
      <c r="AK45" s="2191"/>
      <c r="AL45" s="2191"/>
      <c r="AM45" s="3389"/>
      <c r="AN45" s="3389"/>
      <c r="AO45" s="2191"/>
    </row>
    <row r="46" spans="1:41" ht="65.25" customHeight="1" x14ac:dyDescent="0.25">
      <c r="A46" s="759"/>
      <c r="B46" s="772"/>
      <c r="C46" s="772"/>
      <c r="D46" s="977"/>
      <c r="E46" s="772"/>
      <c r="F46" s="774"/>
      <c r="G46" s="2204"/>
      <c r="H46" s="3387"/>
      <c r="I46" s="2208"/>
      <c r="J46" s="2560"/>
      <c r="K46" s="2323"/>
      <c r="L46" s="2323"/>
      <c r="M46" s="2742"/>
      <c r="N46" s="2562"/>
      <c r="O46" s="2367"/>
      <c r="P46" s="3394"/>
      <c r="Q46" s="2321"/>
      <c r="R46" s="3138"/>
      <c r="S46" s="776" t="s">
        <v>710</v>
      </c>
      <c r="T46" s="985">
        <v>8953500</v>
      </c>
      <c r="U46" s="934">
        <v>20</v>
      </c>
      <c r="V46" s="1986" t="s">
        <v>70</v>
      </c>
      <c r="W46" s="2326"/>
      <c r="X46" s="2191"/>
      <c r="Y46" s="2191"/>
      <c r="Z46" s="2191"/>
      <c r="AA46" s="2191"/>
      <c r="AB46" s="2191"/>
      <c r="AC46" s="2191"/>
      <c r="AD46" s="2191"/>
      <c r="AE46" s="2191"/>
      <c r="AF46" s="2191"/>
      <c r="AG46" s="2191"/>
      <c r="AH46" s="2191"/>
      <c r="AI46" s="2191"/>
      <c r="AJ46" s="2191"/>
      <c r="AK46" s="2191"/>
      <c r="AL46" s="2191"/>
      <c r="AM46" s="3389"/>
      <c r="AN46" s="3389"/>
      <c r="AO46" s="2191"/>
    </row>
    <row r="47" spans="1:41" ht="52.5" customHeight="1" x14ac:dyDescent="0.25">
      <c r="A47" s="759"/>
      <c r="B47" s="772"/>
      <c r="C47" s="772"/>
      <c r="D47" s="977"/>
      <c r="E47" s="772"/>
      <c r="F47" s="774"/>
      <c r="G47" s="3287" t="s">
        <v>567</v>
      </c>
      <c r="H47" s="3387">
        <v>36.700000000000003</v>
      </c>
      <c r="I47" s="2267" t="s">
        <v>711</v>
      </c>
      <c r="J47" s="3137" t="s">
        <v>712</v>
      </c>
      <c r="K47" s="2427">
        <v>1</v>
      </c>
      <c r="L47" s="2427" t="s">
        <v>713</v>
      </c>
      <c r="M47" s="2206" t="s">
        <v>714</v>
      </c>
      <c r="N47" s="2247" t="s">
        <v>715</v>
      </c>
      <c r="O47" s="3127">
        <v>1</v>
      </c>
      <c r="P47" s="3395">
        <v>430000000</v>
      </c>
      <c r="Q47" s="2247" t="s">
        <v>716</v>
      </c>
      <c r="R47" s="2267" t="s">
        <v>717</v>
      </c>
      <c r="S47" s="757" t="s">
        <v>718</v>
      </c>
      <c r="T47" s="974">
        <v>14000000</v>
      </c>
      <c r="U47" s="975">
        <v>88</v>
      </c>
      <c r="V47" s="1986" t="s">
        <v>227</v>
      </c>
      <c r="W47" s="2206">
        <v>8900</v>
      </c>
      <c r="X47" s="2206">
        <v>8600</v>
      </c>
      <c r="Y47" s="2206">
        <v>12000</v>
      </c>
      <c r="Z47" s="2206">
        <v>4000</v>
      </c>
      <c r="AA47" s="2206">
        <v>1500</v>
      </c>
      <c r="AB47" s="2206">
        <v>0</v>
      </c>
      <c r="AC47" s="2206">
        <v>0</v>
      </c>
      <c r="AD47" s="2206">
        <v>0</v>
      </c>
      <c r="AE47" s="2206">
        <v>0</v>
      </c>
      <c r="AF47" s="2206">
        <v>0</v>
      </c>
      <c r="AG47" s="2206">
        <v>0</v>
      </c>
      <c r="AH47" s="2206">
        <v>0</v>
      </c>
      <c r="AI47" s="2206">
        <v>0</v>
      </c>
      <c r="AJ47" s="2206">
        <v>0</v>
      </c>
      <c r="AK47" s="2206">
        <v>0</v>
      </c>
      <c r="AL47" s="2206">
        <v>17500</v>
      </c>
      <c r="AM47" s="3397">
        <v>43832</v>
      </c>
      <c r="AN47" s="3400">
        <v>44195</v>
      </c>
      <c r="AO47" s="2206" t="s">
        <v>652</v>
      </c>
    </row>
    <row r="48" spans="1:41" ht="80.25" customHeight="1" x14ac:dyDescent="0.25">
      <c r="A48" s="759"/>
      <c r="B48" s="772"/>
      <c r="C48" s="772"/>
      <c r="D48" s="977"/>
      <c r="E48" s="772"/>
      <c r="F48" s="774"/>
      <c r="G48" s="3287"/>
      <c r="H48" s="3387"/>
      <c r="I48" s="2267"/>
      <c r="J48" s="3137"/>
      <c r="K48" s="2427"/>
      <c r="L48" s="2427"/>
      <c r="M48" s="2206"/>
      <c r="N48" s="2247"/>
      <c r="O48" s="3127"/>
      <c r="P48" s="3395"/>
      <c r="Q48" s="2247"/>
      <c r="R48" s="2267"/>
      <c r="S48" s="757" t="s">
        <v>719</v>
      </c>
      <c r="T48" s="974">
        <v>30573500</v>
      </c>
      <c r="U48" s="934">
        <v>20</v>
      </c>
      <c r="V48" s="1986" t="s">
        <v>70</v>
      </c>
      <c r="W48" s="2206"/>
      <c r="X48" s="2206"/>
      <c r="Y48" s="2206"/>
      <c r="Z48" s="2206"/>
      <c r="AA48" s="2206"/>
      <c r="AB48" s="2206"/>
      <c r="AC48" s="2206"/>
      <c r="AD48" s="2206"/>
      <c r="AE48" s="2206"/>
      <c r="AF48" s="2206"/>
      <c r="AG48" s="2206"/>
      <c r="AH48" s="2206"/>
      <c r="AI48" s="2206"/>
      <c r="AJ48" s="2206"/>
      <c r="AK48" s="2206"/>
      <c r="AL48" s="2206"/>
      <c r="AM48" s="3398"/>
      <c r="AN48" s="3400"/>
      <c r="AO48" s="2206"/>
    </row>
    <row r="49" spans="1:41" ht="120" customHeight="1" x14ac:dyDescent="0.25">
      <c r="A49" s="759"/>
      <c r="B49" s="772"/>
      <c r="C49" s="772"/>
      <c r="D49" s="977"/>
      <c r="E49" s="772"/>
      <c r="F49" s="774"/>
      <c r="G49" s="3287"/>
      <c r="H49" s="3387"/>
      <c r="I49" s="2267"/>
      <c r="J49" s="3137"/>
      <c r="K49" s="2427"/>
      <c r="L49" s="2427"/>
      <c r="M49" s="2206"/>
      <c r="N49" s="2247"/>
      <c r="O49" s="3127"/>
      <c r="P49" s="3395"/>
      <c r="Q49" s="2247"/>
      <c r="R49" s="2267"/>
      <c r="S49" s="757" t="s">
        <v>720</v>
      </c>
      <c r="T49" s="974">
        <v>7000000</v>
      </c>
      <c r="U49" s="934">
        <v>20</v>
      </c>
      <c r="V49" s="1986" t="s">
        <v>70</v>
      </c>
      <c r="W49" s="2206"/>
      <c r="X49" s="2206"/>
      <c r="Y49" s="2206"/>
      <c r="Z49" s="2206"/>
      <c r="AA49" s="2206"/>
      <c r="AB49" s="2206"/>
      <c r="AC49" s="2206"/>
      <c r="AD49" s="2206"/>
      <c r="AE49" s="2206"/>
      <c r="AF49" s="2206"/>
      <c r="AG49" s="2206"/>
      <c r="AH49" s="2206"/>
      <c r="AI49" s="2206"/>
      <c r="AJ49" s="2206"/>
      <c r="AK49" s="2206"/>
      <c r="AL49" s="2206"/>
      <c r="AM49" s="3398"/>
      <c r="AN49" s="3400"/>
      <c r="AO49" s="2206"/>
    </row>
    <row r="50" spans="1:41" ht="48" customHeight="1" x14ac:dyDescent="0.25">
      <c r="A50" s="759"/>
      <c r="B50" s="772"/>
      <c r="C50" s="772"/>
      <c r="D50" s="977"/>
      <c r="E50" s="772"/>
      <c r="F50" s="774"/>
      <c r="G50" s="3287"/>
      <c r="H50" s="3387"/>
      <c r="I50" s="2267"/>
      <c r="J50" s="3137"/>
      <c r="K50" s="2427"/>
      <c r="L50" s="2427"/>
      <c r="M50" s="2206"/>
      <c r="N50" s="2247"/>
      <c r="O50" s="3127"/>
      <c r="P50" s="3395"/>
      <c r="Q50" s="2247"/>
      <c r="R50" s="2267"/>
      <c r="S50" s="2208" t="s">
        <v>721</v>
      </c>
      <c r="T50" s="974">
        <v>288670834</v>
      </c>
      <c r="U50" s="934">
        <v>20</v>
      </c>
      <c r="V50" s="1986" t="s">
        <v>70</v>
      </c>
      <c r="W50" s="2206"/>
      <c r="X50" s="2206"/>
      <c r="Y50" s="2206"/>
      <c r="Z50" s="2206"/>
      <c r="AA50" s="2206"/>
      <c r="AB50" s="2206"/>
      <c r="AC50" s="2206"/>
      <c r="AD50" s="2206"/>
      <c r="AE50" s="2206"/>
      <c r="AF50" s="2206"/>
      <c r="AG50" s="2206"/>
      <c r="AH50" s="2206"/>
      <c r="AI50" s="2206"/>
      <c r="AJ50" s="2206"/>
      <c r="AK50" s="2206"/>
      <c r="AL50" s="2206"/>
      <c r="AM50" s="3398"/>
      <c r="AN50" s="3400"/>
      <c r="AO50" s="2206"/>
    </row>
    <row r="51" spans="1:41" ht="42.75" customHeight="1" x14ac:dyDescent="0.25">
      <c r="A51" s="759"/>
      <c r="B51" s="772"/>
      <c r="C51" s="772"/>
      <c r="D51" s="977"/>
      <c r="E51" s="772"/>
      <c r="F51" s="774"/>
      <c r="G51" s="3287"/>
      <c r="H51" s="3387"/>
      <c r="I51" s="2267"/>
      <c r="J51" s="3137"/>
      <c r="K51" s="2427"/>
      <c r="L51" s="2427"/>
      <c r="M51" s="2206"/>
      <c r="N51" s="2247"/>
      <c r="O51" s="3127"/>
      <c r="P51" s="3395"/>
      <c r="Q51" s="2247"/>
      <c r="R51" s="2267"/>
      <c r="S51" s="2208"/>
      <c r="T51" s="974">
        <v>31000000</v>
      </c>
      <c r="U51" s="975">
        <v>88</v>
      </c>
      <c r="V51" s="1986" t="s">
        <v>227</v>
      </c>
      <c r="W51" s="2206"/>
      <c r="X51" s="2206"/>
      <c r="Y51" s="2206"/>
      <c r="Z51" s="2206"/>
      <c r="AA51" s="2206"/>
      <c r="AB51" s="2206"/>
      <c r="AC51" s="2206"/>
      <c r="AD51" s="2206"/>
      <c r="AE51" s="2206"/>
      <c r="AF51" s="2206"/>
      <c r="AG51" s="2206"/>
      <c r="AH51" s="2206"/>
      <c r="AI51" s="2206"/>
      <c r="AJ51" s="2206"/>
      <c r="AK51" s="2206"/>
      <c r="AL51" s="2206"/>
      <c r="AM51" s="3398"/>
      <c r="AN51" s="3400"/>
      <c r="AO51" s="2206"/>
    </row>
    <row r="52" spans="1:41" ht="107.25" customHeight="1" x14ac:dyDescent="0.25">
      <c r="A52" s="759"/>
      <c r="B52" s="772"/>
      <c r="C52" s="772"/>
      <c r="D52" s="977"/>
      <c r="E52" s="772"/>
      <c r="F52" s="774"/>
      <c r="G52" s="3287"/>
      <c r="H52" s="3387"/>
      <c r="I52" s="2267"/>
      <c r="J52" s="3137"/>
      <c r="K52" s="2427"/>
      <c r="L52" s="2427"/>
      <c r="M52" s="2206"/>
      <c r="N52" s="2247"/>
      <c r="O52" s="3127"/>
      <c r="P52" s="3395"/>
      <c r="Q52" s="2247"/>
      <c r="R52" s="2267"/>
      <c r="S52" s="757" t="s">
        <v>722</v>
      </c>
      <c r="T52" s="974">
        <v>21093333</v>
      </c>
      <c r="U52" s="934">
        <v>20</v>
      </c>
      <c r="V52" s="1986" t="s">
        <v>70</v>
      </c>
      <c r="W52" s="2206"/>
      <c r="X52" s="2206"/>
      <c r="Y52" s="2206"/>
      <c r="Z52" s="2206"/>
      <c r="AA52" s="2206"/>
      <c r="AB52" s="2206"/>
      <c r="AC52" s="2206"/>
      <c r="AD52" s="2206"/>
      <c r="AE52" s="2206"/>
      <c r="AF52" s="2206"/>
      <c r="AG52" s="2206"/>
      <c r="AH52" s="2206"/>
      <c r="AI52" s="2206"/>
      <c r="AJ52" s="2206"/>
      <c r="AK52" s="2206"/>
      <c r="AL52" s="2206"/>
      <c r="AM52" s="3398"/>
      <c r="AN52" s="3400"/>
      <c r="AO52" s="2206"/>
    </row>
    <row r="53" spans="1:41" ht="57.75" customHeight="1" x14ac:dyDescent="0.25">
      <c r="A53" s="759"/>
      <c r="B53" s="772"/>
      <c r="C53" s="772"/>
      <c r="D53" s="977"/>
      <c r="E53" s="772"/>
      <c r="F53" s="774"/>
      <c r="G53" s="3287"/>
      <c r="H53" s="3387"/>
      <c r="I53" s="2267"/>
      <c r="J53" s="3137"/>
      <c r="K53" s="2427"/>
      <c r="L53" s="2427"/>
      <c r="M53" s="2206"/>
      <c r="N53" s="2247"/>
      <c r="O53" s="3127"/>
      <c r="P53" s="3395"/>
      <c r="Q53" s="2247"/>
      <c r="R53" s="2267"/>
      <c r="S53" s="757" t="s">
        <v>723</v>
      </c>
      <c r="T53" s="974">
        <v>5000000</v>
      </c>
      <c r="U53" s="975">
        <v>88</v>
      </c>
      <c r="V53" s="1986" t="s">
        <v>227</v>
      </c>
      <c r="W53" s="2206"/>
      <c r="X53" s="2206"/>
      <c r="Y53" s="2206"/>
      <c r="Z53" s="2206"/>
      <c r="AA53" s="2206"/>
      <c r="AB53" s="2206"/>
      <c r="AC53" s="2206"/>
      <c r="AD53" s="2206"/>
      <c r="AE53" s="2206"/>
      <c r="AF53" s="2206"/>
      <c r="AG53" s="2206"/>
      <c r="AH53" s="2206"/>
      <c r="AI53" s="2206"/>
      <c r="AJ53" s="2206"/>
      <c r="AK53" s="2206"/>
      <c r="AL53" s="2206"/>
      <c r="AM53" s="3398"/>
      <c r="AN53" s="3400"/>
      <c r="AO53" s="2206"/>
    </row>
    <row r="54" spans="1:41" ht="63.75" customHeight="1" x14ac:dyDescent="0.25">
      <c r="A54" s="759"/>
      <c r="B54" s="772"/>
      <c r="C54" s="772"/>
      <c r="D54" s="977"/>
      <c r="E54" s="772"/>
      <c r="F54" s="774"/>
      <c r="G54" s="3287"/>
      <c r="H54" s="3387"/>
      <c r="I54" s="2267"/>
      <c r="J54" s="3137"/>
      <c r="K54" s="2427"/>
      <c r="L54" s="2427"/>
      <c r="M54" s="2206"/>
      <c r="N54" s="2247"/>
      <c r="O54" s="3127"/>
      <c r="P54" s="3395"/>
      <c r="Q54" s="2247"/>
      <c r="R54" s="2267"/>
      <c r="S54" s="757" t="s">
        <v>724</v>
      </c>
      <c r="T54" s="974">
        <v>1075000</v>
      </c>
      <c r="U54" s="934">
        <v>20</v>
      </c>
      <c r="V54" s="1986" t="s">
        <v>70</v>
      </c>
      <c r="W54" s="2206"/>
      <c r="X54" s="2206"/>
      <c r="Y54" s="2206"/>
      <c r="Z54" s="2206"/>
      <c r="AA54" s="2206"/>
      <c r="AB54" s="2206"/>
      <c r="AC54" s="2206"/>
      <c r="AD54" s="2206"/>
      <c r="AE54" s="2206"/>
      <c r="AF54" s="2206"/>
      <c r="AG54" s="2206"/>
      <c r="AH54" s="2206"/>
      <c r="AI54" s="2206"/>
      <c r="AJ54" s="2206"/>
      <c r="AK54" s="2206"/>
      <c r="AL54" s="2206"/>
      <c r="AM54" s="3398"/>
      <c r="AN54" s="3400"/>
      <c r="AO54" s="2206"/>
    </row>
    <row r="55" spans="1:41" ht="105" customHeight="1" x14ac:dyDescent="0.25">
      <c r="A55" s="759"/>
      <c r="B55" s="772"/>
      <c r="C55" s="772"/>
      <c r="D55" s="977"/>
      <c r="E55" s="772"/>
      <c r="F55" s="774"/>
      <c r="G55" s="3287"/>
      <c r="H55" s="3387"/>
      <c r="I55" s="2267"/>
      <c r="J55" s="3137"/>
      <c r="K55" s="2427"/>
      <c r="L55" s="2427"/>
      <c r="M55" s="2206"/>
      <c r="N55" s="2247"/>
      <c r="O55" s="3127"/>
      <c r="P55" s="3395"/>
      <c r="Q55" s="2247"/>
      <c r="R55" s="2267"/>
      <c r="S55" s="757" t="s">
        <v>725</v>
      </c>
      <c r="T55" s="986">
        <v>3200000</v>
      </c>
      <c r="U55" s="934">
        <v>20</v>
      </c>
      <c r="V55" s="1986" t="s">
        <v>70</v>
      </c>
      <c r="W55" s="2206"/>
      <c r="X55" s="2206"/>
      <c r="Y55" s="2206"/>
      <c r="Z55" s="2206"/>
      <c r="AA55" s="2206"/>
      <c r="AB55" s="2206"/>
      <c r="AC55" s="2206"/>
      <c r="AD55" s="2206"/>
      <c r="AE55" s="2206"/>
      <c r="AF55" s="2206"/>
      <c r="AG55" s="2206"/>
      <c r="AH55" s="2206"/>
      <c r="AI55" s="2206"/>
      <c r="AJ55" s="2206"/>
      <c r="AK55" s="2206"/>
      <c r="AL55" s="2206"/>
      <c r="AM55" s="3398"/>
      <c r="AN55" s="3400"/>
      <c r="AO55" s="2206"/>
    </row>
    <row r="56" spans="1:41" ht="69" customHeight="1" x14ac:dyDescent="0.25">
      <c r="A56" s="759"/>
      <c r="B56" s="772"/>
      <c r="C56" s="772"/>
      <c r="D56" s="977"/>
      <c r="E56" s="772"/>
      <c r="F56" s="774"/>
      <c r="G56" s="3287"/>
      <c r="H56" s="3387"/>
      <c r="I56" s="2267"/>
      <c r="J56" s="3137"/>
      <c r="K56" s="2427"/>
      <c r="L56" s="2427"/>
      <c r="M56" s="2206"/>
      <c r="N56" s="2247"/>
      <c r="O56" s="3127"/>
      <c r="P56" s="3395"/>
      <c r="Q56" s="2247"/>
      <c r="R56" s="2267"/>
      <c r="S56" s="757" t="s">
        <v>726</v>
      </c>
      <c r="T56" s="986">
        <v>3658667</v>
      </c>
      <c r="U56" s="934">
        <v>20</v>
      </c>
      <c r="V56" s="1986" t="s">
        <v>70</v>
      </c>
      <c r="W56" s="2206"/>
      <c r="X56" s="2206"/>
      <c r="Y56" s="2206"/>
      <c r="Z56" s="2206"/>
      <c r="AA56" s="2206"/>
      <c r="AB56" s="2206"/>
      <c r="AC56" s="2206"/>
      <c r="AD56" s="2206"/>
      <c r="AE56" s="2206"/>
      <c r="AF56" s="2206"/>
      <c r="AG56" s="2206"/>
      <c r="AH56" s="2206"/>
      <c r="AI56" s="2206"/>
      <c r="AJ56" s="2206"/>
      <c r="AK56" s="2206"/>
      <c r="AL56" s="2206"/>
      <c r="AM56" s="3398"/>
      <c r="AN56" s="3400"/>
      <c r="AO56" s="2206"/>
    </row>
    <row r="57" spans="1:41" ht="75" customHeight="1" x14ac:dyDescent="0.25">
      <c r="A57" s="759"/>
      <c r="B57" s="772"/>
      <c r="C57" s="772"/>
      <c r="D57" s="977"/>
      <c r="E57" s="772"/>
      <c r="F57" s="774"/>
      <c r="G57" s="3287"/>
      <c r="H57" s="3387"/>
      <c r="I57" s="2267"/>
      <c r="J57" s="3137"/>
      <c r="K57" s="2427"/>
      <c r="L57" s="2427"/>
      <c r="M57" s="2206"/>
      <c r="N57" s="2247"/>
      <c r="O57" s="3127"/>
      <c r="P57" s="3395"/>
      <c r="Q57" s="2247"/>
      <c r="R57" s="2267"/>
      <c r="S57" s="757" t="s">
        <v>727</v>
      </c>
      <c r="T57" s="986">
        <v>3136000</v>
      </c>
      <c r="U57" s="934">
        <v>20</v>
      </c>
      <c r="V57" s="1986" t="s">
        <v>70</v>
      </c>
      <c r="W57" s="2206"/>
      <c r="X57" s="2206"/>
      <c r="Y57" s="2206"/>
      <c r="Z57" s="2206"/>
      <c r="AA57" s="2206"/>
      <c r="AB57" s="2206"/>
      <c r="AC57" s="2206"/>
      <c r="AD57" s="2206"/>
      <c r="AE57" s="2206"/>
      <c r="AF57" s="2206"/>
      <c r="AG57" s="2206"/>
      <c r="AH57" s="2206"/>
      <c r="AI57" s="2206"/>
      <c r="AJ57" s="2206"/>
      <c r="AK57" s="2206"/>
      <c r="AL57" s="2206"/>
      <c r="AM57" s="3398"/>
      <c r="AN57" s="3400"/>
      <c r="AO57" s="2206"/>
    </row>
    <row r="58" spans="1:41" ht="120" customHeight="1" x14ac:dyDescent="0.25">
      <c r="A58" s="759"/>
      <c r="B58" s="772"/>
      <c r="C58" s="772"/>
      <c r="D58" s="977"/>
      <c r="E58" s="772"/>
      <c r="F58" s="774"/>
      <c r="G58" s="3287"/>
      <c r="H58" s="3387"/>
      <c r="I58" s="2267"/>
      <c r="J58" s="3137"/>
      <c r="K58" s="2427"/>
      <c r="L58" s="2427"/>
      <c r="M58" s="2206"/>
      <c r="N58" s="2247"/>
      <c r="O58" s="3127"/>
      <c r="P58" s="3395"/>
      <c r="Q58" s="2247"/>
      <c r="R58" s="2267"/>
      <c r="S58" s="757" t="s">
        <v>728</v>
      </c>
      <c r="T58" s="986">
        <v>3136000</v>
      </c>
      <c r="U58" s="934">
        <v>20</v>
      </c>
      <c r="V58" s="1986" t="s">
        <v>70</v>
      </c>
      <c r="W58" s="2206"/>
      <c r="X58" s="2206"/>
      <c r="Y58" s="2206"/>
      <c r="Z58" s="2206"/>
      <c r="AA58" s="2206"/>
      <c r="AB58" s="2206"/>
      <c r="AC58" s="2206"/>
      <c r="AD58" s="2206"/>
      <c r="AE58" s="2206"/>
      <c r="AF58" s="2206"/>
      <c r="AG58" s="2206"/>
      <c r="AH58" s="2206"/>
      <c r="AI58" s="2206"/>
      <c r="AJ58" s="2206"/>
      <c r="AK58" s="2206"/>
      <c r="AL58" s="2206"/>
      <c r="AM58" s="3398"/>
      <c r="AN58" s="3400"/>
      <c r="AO58" s="2206"/>
    </row>
    <row r="59" spans="1:41" ht="120" customHeight="1" x14ac:dyDescent="0.25">
      <c r="A59" s="759"/>
      <c r="B59" s="772"/>
      <c r="C59" s="772"/>
      <c r="D59" s="977"/>
      <c r="E59" s="772"/>
      <c r="F59" s="774"/>
      <c r="G59" s="3287"/>
      <c r="H59" s="3387"/>
      <c r="I59" s="2267"/>
      <c r="J59" s="3137"/>
      <c r="K59" s="2427"/>
      <c r="L59" s="2427"/>
      <c r="M59" s="2206"/>
      <c r="N59" s="2247"/>
      <c r="O59" s="3127"/>
      <c r="P59" s="3395"/>
      <c r="Q59" s="2247"/>
      <c r="R59" s="2267"/>
      <c r="S59" s="757" t="s">
        <v>729</v>
      </c>
      <c r="T59" s="986">
        <v>2150000</v>
      </c>
      <c r="U59" s="934">
        <v>20</v>
      </c>
      <c r="V59" s="1986" t="s">
        <v>70</v>
      </c>
      <c r="W59" s="2206"/>
      <c r="X59" s="2206"/>
      <c r="Y59" s="2206"/>
      <c r="Z59" s="2206"/>
      <c r="AA59" s="2206"/>
      <c r="AB59" s="2206"/>
      <c r="AC59" s="2206"/>
      <c r="AD59" s="2206"/>
      <c r="AE59" s="2206"/>
      <c r="AF59" s="2206"/>
      <c r="AG59" s="2206"/>
      <c r="AH59" s="2206"/>
      <c r="AI59" s="2206"/>
      <c r="AJ59" s="2206"/>
      <c r="AK59" s="2206"/>
      <c r="AL59" s="2206"/>
      <c r="AM59" s="3398"/>
      <c r="AN59" s="3400"/>
      <c r="AO59" s="2206"/>
    </row>
    <row r="60" spans="1:41" ht="105" customHeight="1" x14ac:dyDescent="0.25">
      <c r="A60" s="114"/>
      <c r="B60" s="4"/>
      <c r="C60" s="4"/>
      <c r="D60" s="845"/>
      <c r="E60" s="4"/>
      <c r="F60" s="115"/>
      <c r="G60" s="3390"/>
      <c r="H60" s="3391"/>
      <c r="I60" s="2430"/>
      <c r="J60" s="3138"/>
      <c r="K60" s="3392"/>
      <c r="L60" s="3392"/>
      <c r="M60" s="2319"/>
      <c r="N60" s="2321"/>
      <c r="O60" s="3128"/>
      <c r="P60" s="3396"/>
      <c r="Q60" s="2321"/>
      <c r="R60" s="2430"/>
      <c r="S60" s="776" t="s">
        <v>730</v>
      </c>
      <c r="T60" s="987">
        <v>16306666</v>
      </c>
      <c r="U60" s="934">
        <v>20</v>
      </c>
      <c r="V60" s="1986" t="s">
        <v>70</v>
      </c>
      <c r="W60" s="2319"/>
      <c r="X60" s="2319"/>
      <c r="Y60" s="2319"/>
      <c r="Z60" s="2319"/>
      <c r="AA60" s="2319"/>
      <c r="AB60" s="2319"/>
      <c r="AC60" s="2319"/>
      <c r="AD60" s="2319"/>
      <c r="AE60" s="2319"/>
      <c r="AF60" s="2319"/>
      <c r="AG60" s="2319"/>
      <c r="AH60" s="2319"/>
      <c r="AI60" s="2319"/>
      <c r="AJ60" s="2319"/>
      <c r="AK60" s="2319"/>
      <c r="AL60" s="2319"/>
      <c r="AM60" s="3399"/>
      <c r="AN60" s="3397"/>
      <c r="AO60" s="2319"/>
    </row>
    <row r="61" spans="1:41" ht="60" customHeight="1" x14ac:dyDescent="0.25">
      <c r="A61" s="114"/>
      <c r="B61" s="4"/>
      <c r="C61" s="4"/>
      <c r="D61" s="845"/>
      <c r="E61" s="4"/>
      <c r="F61" s="115"/>
      <c r="G61" s="2204" t="s">
        <v>567</v>
      </c>
      <c r="H61" s="3387">
        <v>36.9</v>
      </c>
      <c r="I61" s="2267" t="s">
        <v>731</v>
      </c>
      <c r="J61" s="2267" t="s">
        <v>732</v>
      </c>
      <c r="K61" s="2323">
        <v>1</v>
      </c>
      <c r="L61" s="2427" t="s">
        <v>665</v>
      </c>
      <c r="M61" s="2206" t="s">
        <v>666</v>
      </c>
      <c r="N61" s="2247" t="s">
        <v>667</v>
      </c>
      <c r="O61" s="3127">
        <f>(T62+T63+T64+T65+T66+T67+T68+T69+T70+T71)/(P61+P86+P21)</f>
        <v>0.35315627309133768</v>
      </c>
      <c r="P61" s="3403">
        <v>40401666</v>
      </c>
      <c r="Q61" s="2247" t="s">
        <v>668</v>
      </c>
      <c r="R61" s="2267" t="s">
        <v>669</v>
      </c>
      <c r="S61" s="757" t="s">
        <v>733</v>
      </c>
      <c r="T61" s="988">
        <v>0</v>
      </c>
      <c r="U61" s="960"/>
      <c r="V61" s="961"/>
      <c r="W61" s="2323">
        <v>4600</v>
      </c>
      <c r="X61" s="2323">
        <v>3810</v>
      </c>
      <c r="Y61" s="2323">
        <v>0</v>
      </c>
      <c r="Z61" s="2323">
        <v>5300</v>
      </c>
      <c r="AA61" s="2323">
        <v>2900</v>
      </c>
      <c r="AB61" s="2323">
        <v>0</v>
      </c>
      <c r="AC61" s="2323">
        <v>10</v>
      </c>
      <c r="AD61" s="2323">
        <v>0</v>
      </c>
      <c r="AE61" s="2323">
        <v>0</v>
      </c>
      <c r="AF61" s="2323">
        <v>0</v>
      </c>
      <c r="AG61" s="2323">
        <v>0</v>
      </c>
      <c r="AH61" s="2323">
        <v>0</v>
      </c>
      <c r="AI61" s="2323">
        <v>0</v>
      </c>
      <c r="AJ61" s="2323">
        <v>10</v>
      </c>
      <c r="AK61" s="2323">
        <v>10</v>
      </c>
      <c r="AL61" s="2206">
        <v>8410</v>
      </c>
      <c r="AM61" s="3397">
        <v>43832</v>
      </c>
      <c r="AN61" s="3397">
        <v>44195</v>
      </c>
      <c r="AO61" s="2319" t="s">
        <v>652</v>
      </c>
    </row>
    <row r="62" spans="1:41" s="755" customFormat="1" ht="66.75" customHeight="1" x14ac:dyDescent="0.25">
      <c r="A62" s="989"/>
      <c r="B62" s="58"/>
      <c r="C62" s="58"/>
      <c r="D62" s="314"/>
      <c r="E62" s="58"/>
      <c r="F62" s="315"/>
      <c r="G62" s="2204"/>
      <c r="H62" s="3387"/>
      <c r="I62" s="2267"/>
      <c r="J62" s="2267"/>
      <c r="K62" s="2323"/>
      <c r="L62" s="2427"/>
      <c r="M62" s="2206"/>
      <c r="N62" s="2247"/>
      <c r="O62" s="3127"/>
      <c r="P62" s="3403"/>
      <c r="Q62" s="2247"/>
      <c r="R62" s="2267"/>
      <c r="S62" s="990" t="s">
        <v>671</v>
      </c>
      <c r="T62" s="986">
        <v>11720000</v>
      </c>
      <c r="U62" s="934">
        <v>20</v>
      </c>
      <c r="V62" s="1986" t="s">
        <v>70</v>
      </c>
      <c r="W62" s="2323"/>
      <c r="X62" s="2323"/>
      <c r="Y62" s="2323"/>
      <c r="Z62" s="2323"/>
      <c r="AA62" s="2323"/>
      <c r="AB62" s="2323"/>
      <c r="AC62" s="2323"/>
      <c r="AD62" s="2323"/>
      <c r="AE62" s="2323"/>
      <c r="AF62" s="2323"/>
      <c r="AG62" s="2323"/>
      <c r="AH62" s="2323"/>
      <c r="AI62" s="2323"/>
      <c r="AJ62" s="2323"/>
      <c r="AK62" s="2323"/>
      <c r="AL62" s="2206"/>
      <c r="AM62" s="3398"/>
      <c r="AN62" s="3398"/>
      <c r="AO62" s="2571"/>
    </row>
    <row r="63" spans="1:41" s="755" customFormat="1" ht="50.25" customHeight="1" x14ac:dyDescent="0.25">
      <c r="A63" s="989"/>
      <c r="B63" s="58"/>
      <c r="C63" s="58"/>
      <c r="D63" s="314"/>
      <c r="E63" s="58"/>
      <c r="F63" s="315"/>
      <c r="G63" s="2204"/>
      <c r="H63" s="3387"/>
      <c r="I63" s="2267"/>
      <c r="J63" s="2267"/>
      <c r="K63" s="2323"/>
      <c r="L63" s="2427"/>
      <c r="M63" s="2206"/>
      <c r="N63" s="2247"/>
      <c r="O63" s="3127"/>
      <c r="P63" s="3403"/>
      <c r="Q63" s="2247"/>
      <c r="R63" s="2267"/>
      <c r="S63" s="990" t="s">
        <v>672</v>
      </c>
      <c r="T63" s="986">
        <v>10453333</v>
      </c>
      <c r="U63" s="934">
        <v>20</v>
      </c>
      <c r="V63" s="1986" t="s">
        <v>70</v>
      </c>
      <c r="W63" s="2323"/>
      <c r="X63" s="2323"/>
      <c r="Y63" s="2323"/>
      <c r="Z63" s="2323"/>
      <c r="AA63" s="2323"/>
      <c r="AB63" s="2323"/>
      <c r="AC63" s="2323"/>
      <c r="AD63" s="2323"/>
      <c r="AE63" s="2323"/>
      <c r="AF63" s="2323"/>
      <c r="AG63" s="2323"/>
      <c r="AH63" s="2323"/>
      <c r="AI63" s="2323"/>
      <c r="AJ63" s="2323"/>
      <c r="AK63" s="2323"/>
      <c r="AL63" s="2206"/>
      <c r="AM63" s="3398"/>
      <c r="AN63" s="3398"/>
      <c r="AO63" s="2571"/>
    </row>
    <row r="64" spans="1:41" s="755" customFormat="1" ht="91.5" customHeight="1" x14ac:dyDescent="0.25">
      <c r="A64" s="989"/>
      <c r="B64" s="58"/>
      <c r="C64" s="58"/>
      <c r="D64" s="314"/>
      <c r="E64" s="58"/>
      <c r="F64" s="315"/>
      <c r="G64" s="2204"/>
      <c r="H64" s="3387"/>
      <c r="I64" s="2267"/>
      <c r="J64" s="2267"/>
      <c r="K64" s="2323"/>
      <c r="L64" s="2427"/>
      <c r="M64" s="2206"/>
      <c r="N64" s="2247"/>
      <c r="O64" s="3127"/>
      <c r="P64" s="3403"/>
      <c r="Q64" s="2247"/>
      <c r="R64" s="2267"/>
      <c r="S64" s="990" t="s">
        <v>673</v>
      </c>
      <c r="T64" s="986">
        <v>1080000</v>
      </c>
      <c r="U64" s="934">
        <v>20</v>
      </c>
      <c r="V64" s="1986" t="s">
        <v>70</v>
      </c>
      <c r="W64" s="2323"/>
      <c r="X64" s="2323"/>
      <c r="Y64" s="2323"/>
      <c r="Z64" s="2323"/>
      <c r="AA64" s="2323"/>
      <c r="AB64" s="2323"/>
      <c r="AC64" s="2323"/>
      <c r="AD64" s="2323"/>
      <c r="AE64" s="2323"/>
      <c r="AF64" s="2323"/>
      <c r="AG64" s="2323"/>
      <c r="AH64" s="2323"/>
      <c r="AI64" s="2323"/>
      <c r="AJ64" s="2323"/>
      <c r="AK64" s="2323"/>
      <c r="AL64" s="2206"/>
      <c r="AM64" s="3398"/>
      <c r="AN64" s="3398"/>
      <c r="AO64" s="2571"/>
    </row>
    <row r="65" spans="1:104" s="755" customFormat="1" ht="79.5" customHeight="1" x14ac:dyDescent="0.25">
      <c r="A65" s="989"/>
      <c r="B65" s="58"/>
      <c r="C65" s="58"/>
      <c r="D65" s="314"/>
      <c r="E65" s="58"/>
      <c r="F65" s="315"/>
      <c r="G65" s="2204"/>
      <c r="H65" s="3387"/>
      <c r="I65" s="2267"/>
      <c r="J65" s="2267"/>
      <c r="K65" s="2323"/>
      <c r="L65" s="2427"/>
      <c r="M65" s="2206"/>
      <c r="N65" s="2247"/>
      <c r="O65" s="3127"/>
      <c r="P65" s="3403"/>
      <c r="Q65" s="2247"/>
      <c r="R65" s="2267"/>
      <c r="S65" s="990" t="s">
        <v>674</v>
      </c>
      <c r="T65" s="986">
        <v>16200000</v>
      </c>
      <c r="U65" s="934">
        <v>20</v>
      </c>
      <c r="V65" s="1986" t="s">
        <v>70</v>
      </c>
      <c r="W65" s="2323"/>
      <c r="X65" s="2323"/>
      <c r="Y65" s="2323"/>
      <c r="Z65" s="2323"/>
      <c r="AA65" s="2323"/>
      <c r="AB65" s="2323"/>
      <c r="AC65" s="2323"/>
      <c r="AD65" s="2323"/>
      <c r="AE65" s="2323"/>
      <c r="AF65" s="2323"/>
      <c r="AG65" s="2323"/>
      <c r="AH65" s="2323"/>
      <c r="AI65" s="2323"/>
      <c r="AJ65" s="2323"/>
      <c r="AK65" s="2323"/>
      <c r="AL65" s="2206"/>
      <c r="AM65" s="3398"/>
      <c r="AN65" s="3398"/>
      <c r="AO65" s="2571"/>
      <c r="AP65" s="58"/>
    </row>
    <row r="66" spans="1:104" s="755" customFormat="1" ht="54.75" customHeight="1" x14ac:dyDescent="0.25">
      <c r="A66" s="989"/>
      <c r="B66" s="58"/>
      <c r="C66" s="58"/>
      <c r="D66" s="314"/>
      <c r="E66" s="58"/>
      <c r="F66" s="315"/>
      <c r="G66" s="2204"/>
      <c r="H66" s="3387"/>
      <c r="I66" s="2267"/>
      <c r="J66" s="2267"/>
      <c r="K66" s="2323"/>
      <c r="L66" s="2427"/>
      <c r="M66" s="2206"/>
      <c r="N66" s="2247"/>
      <c r="O66" s="3127"/>
      <c r="P66" s="3403"/>
      <c r="Q66" s="2247"/>
      <c r="R66" s="2267"/>
      <c r="S66" s="990" t="s">
        <v>675</v>
      </c>
      <c r="T66" s="986">
        <v>948333</v>
      </c>
      <c r="U66" s="934">
        <v>20</v>
      </c>
      <c r="V66" s="1986" t="s">
        <v>70</v>
      </c>
      <c r="W66" s="2323"/>
      <c r="X66" s="2323"/>
      <c r="Y66" s="2323"/>
      <c r="Z66" s="2323"/>
      <c r="AA66" s="2323"/>
      <c r="AB66" s="2323"/>
      <c r="AC66" s="2323"/>
      <c r="AD66" s="2323"/>
      <c r="AE66" s="2323"/>
      <c r="AF66" s="2323"/>
      <c r="AG66" s="2323"/>
      <c r="AH66" s="2323"/>
      <c r="AI66" s="2323"/>
      <c r="AJ66" s="2323"/>
      <c r="AK66" s="2323"/>
      <c r="AL66" s="2206"/>
      <c r="AM66" s="3398"/>
      <c r="AN66" s="3398"/>
      <c r="AO66" s="2571"/>
      <c r="AP66" s="58"/>
    </row>
    <row r="67" spans="1:104" s="755" customFormat="1" ht="48.75" customHeight="1" x14ac:dyDescent="0.25">
      <c r="A67" s="989"/>
      <c r="B67" s="58"/>
      <c r="C67" s="58"/>
      <c r="D67" s="314"/>
      <c r="E67" s="58"/>
      <c r="F67" s="315"/>
      <c r="G67" s="2204"/>
      <c r="H67" s="3387"/>
      <c r="I67" s="2267"/>
      <c r="J67" s="2267"/>
      <c r="K67" s="2323"/>
      <c r="L67" s="2427"/>
      <c r="M67" s="2206"/>
      <c r="N67" s="2247"/>
      <c r="O67" s="3127"/>
      <c r="P67" s="3403"/>
      <c r="Q67" s="2247"/>
      <c r="R67" s="2267"/>
      <c r="S67" s="801" t="s">
        <v>734</v>
      </c>
      <c r="T67" s="988">
        <v>0</v>
      </c>
      <c r="U67" s="960">
        <v>88</v>
      </c>
      <c r="V67" s="1986" t="s">
        <v>227</v>
      </c>
      <c r="W67" s="2323"/>
      <c r="X67" s="2323"/>
      <c r="Y67" s="2323"/>
      <c r="Z67" s="2323"/>
      <c r="AA67" s="2323"/>
      <c r="AB67" s="2323"/>
      <c r="AC67" s="2323"/>
      <c r="AD67" s="2323"/>
      <c r="AE67" s="2323"/>
      <c r="AF67" s="2323"/>
      <c r="AG67" s="2323"/>
      <c r="AH67" s="2323"/>
      <c r="AI67" s="2323"/>
      <c r="AJ67" s="2323"/>
      <c r="AK67" s="2323"/>
      <c r="AL67" s="2206"/>
      <c r="AM67" s="3398"/>
      <c r="AN67" s="3398"/>
      <c r="AO67" s="2571"/>
      <c r="AP67" s="58"/>
    </row>
    <row r="68" spans="1:104" s="755" customFormat="1" ht="66" customHeight="1" x14ac:dyDescent="0.25">
      <c r="A68" s="989"/>
      <c r="B68" s="58"/>
      <c r="C68" s="58"/>
      <c r="D68" s="314"/>
      <c r="E68" s="58"/>
      <c r="F68" s="315"/>
      <c r="G68" s="2204"/>
      <c r="H68" s="3387"/>
      <c r="I68" s="2267"/>
      <c r="J68" s="2267"/>
      <c r="K68" s="2323"/>
      <c r="L68" s="2427"/>
      <c r="M68" s="2206"/>
      <c r="N68" s="2247"/>
      <c r="O68" s="3127"/>
      <c r="P68" s="3403"/>
      <c r="Q68" s="2247"/>
      <c r="R68" s="2267"/>
      <c r="S68" s="801" t="s">
        <v>735</v>
      </c>
      <c r="T68" s="988">
        <v>0</v>
      </c>
      <c r="U68" s="960">
        <v>88</v>
      </c>
      <c r="V68" s="1986" t="s">
        <v>227</v>
      </c>
      <c r="W68" s="2323"/>
      <c r="X68" s="2323"/>
      <c r="Y68" s="2323"/>
      <c r="Z68" s="2323"/>
      <c r="AA68" s="2323"/>
      <c r="AB68" s="2323"/>
      <c r="AC68" s="2323"/>
      <c r="AD68" s="2323"/>
      <c r="AE68" s="2323"/>
      <c r="AF68" s="2323"/>
      <c r="AG68" s="2323"/>
      <c r="AH68" s="2323"/>
      <c r="AI68" s="2323"/>
      <c r="AJ68" s="2323"/>
      <c r="AK68" s="2323"/>
      <c r="AL68" s="2206"/>
      <c r="AM68" s="3398"/>
      <c r="AN68" s="3398"/>
      <c r="AO68" s="2571"/>
      <c r="AP68" s="58"/>
    </row>
    <row r="69" spans="1:104" s="755" customFormat="1" ht="63.75" customHeight="1" x14ac:dyDescent="0.25">
      <c r="A69" s="989"/>
      <c r="B69" s="58"/>
      <c r="C69" s="58"/>
      <c r="D69" s="314"/>
      <c r="E69" s="58"/>
      <c r="F69" s="315"/>
      <c r="G69" s="2204"/>
      <c r="H69" s="3387"/>
      <c r="I69" s="2267"/>
      <c r="J69" s="2267"/>
      <c r="K69" s="2323"/>
      <c r="L69" s="2427"/>
      <c r="M69" s="2206"/>
      <c r="N69" s="2247"/>
      <c r="O69" s="3127"/>
      <c r="P69" s="3403"/>
      <c r="Q69" s="2247"/>
      <c r="R69" s="2267"/>
      <c r="S69" s="801" t="s">
        <v>736</v>
      </c>
      <c r="T69" s="988">
        <v>0</v>
      </c>
      <c r="U69" s="934">
        <v>20</v>
      </c>
      <c r="V69" s="1986" t="s">
        <v>70</v>
      </c>
      <c r="W69" s="2323"/>
      <c r="X69" s="2323"/>
      <c r="Y69" s="2323"/>
      <c r="Z69" s="2323"/>
      <c r="AA69" s="2323"/>
      <c r="AB69" s="2323"/>
      <c r="AC69" s="2323"/>
      <c r="AD69" s="2323"/>
      <c r="AE69" s="2323"/>
      <c r="AF69" s="2323"/>
      <c r="AG69" s="2323"/>
      <c r="AH69" s="2323"/>
      <c r="AI69" s="2323"/>
      <c r="AJ69" s="2323"/>
      <c r="AK69" s="2323"/>
      <c r="AL69" s="2206"/>
      <c r="AM69" s="3398"/>
      <c r="AN69" s="3398"/>
      <c r="AO69" s="2571"/>
      <c r="AP69" s="58"/>
    </row>
    <row r="70" spans="1:104" s="755" customFormat="1" ht="58.5" customHeight="1" x14ac:dyDescent="0.25">
      <c r="A70" s="989"/>
      <c r="B70" s="58"/>
      <c r="C70" s="58"/>
      <c r="D70" s="314"/>
      <c r="E70" s="58"/>
      <c r="F70" s="315"/>
      <c r="G70" s="2204"/>
      <c r="H70" s="3387"/>
      <c r="I70" s="2267"/>
      <c r="J70" s="2267"/>
      <c r="K70" s="2323"/>
      <c r="L70" s="2427"/>
      <c r="M70" s="2206"/>
      <c r="N70" s="2247"/>
      <c r="O70" s="3127"/>
      <c r="P70" s="3403"/>
      <c r="Q70" s="2247"/>
      <c r="R70" s="2267"/>
      <c r="S70" s="801" t="s">
        <v>737</v>
      </c>
      <c r="T70" s="988">
        <v>0</v>
      </c>
      <c r="U70" s="934">
        <v>20</v>
      </c>
      <c r="V70" s="1986" t="s">
        <v>70</v>
      </c>
      <c r="W70" s="2323"/>
      <c r="X70" s="2323"/>
      <c r="Y70" s="2323"/>
      <c r="Z70" s="2323"/>
      <c r="AA70" s="2323"/>
      <c r="AB70" s="2323"/>
      <c r="AC70" s="2323"/>
      <c r="AD70" s="2323"/>
      <c r="AE70" s="2323"/>
      <c r="AF70" s="2323"/>
      <c r="AG70" s="2323"/>
      <c r="AH70" s="2323"/>
      <c r="AI70" s="2323"/>
      <c r="AJ70" s="2323"/>
      <c r="AK70" s="2323"/>
      <c r="AL70" s="2206"/>
      <c r="AM70" s="3398"/>
      <c r="AN70" s="3398"/>
      <c r="AO70" s="2571"/>
      <c r="AP70" s="58"/>
    </row>
    <row r="71" spans="1:104" s="755" customFormat="1" ht="40.5" customHeight="1" x14ac:dyDescent="0.25">
      <c r="A71" s="989"/>
      <c r="B71" s="58"/>
      <c r="C71" s="58"/>
      <c r="D71" s="314"/>
      <c r="E71" s="58"/>
      <c r="F71" s="315"/>
      <c r="G71" s="2204"/>
      <c r="H71" s="3387"/>
      <c r="I71" s="2267"/>
      <c r="J71" s="2267"/>
      <c r="K71" s="2323"/>
      <c r="L71" s="2427"/>
      <c r="M71" s="2206"/>
      <c r="N71" s="2247"/>
      <c r="O71" s="3127"/>
      <c r="P71" s="3403"/>
      <c r="Q71" s="2247"/>
      <c r="R71" s="2267"/>
      <c r="S71" s="801" t="s">
        <v>738</v>
      </c>
      <c r="T71" s="988">
        <v>0</v>
      </c>
      <c r="U71" s="934">
        <v>20</v>
      </c>
      <c r="V71" s="1986" t="s">
        <v>70</v>
      </c>
      <c r="W71" s="2323"/>
      <c r="X71" s="2323"/>
      <c r="Y71" s="2323"/>
      <c r="Z71" s="2323"/>
      <c r="AA71" s="2323"/>
      <c r="AB71" s="2323"/>
      <c r="AC71" s="2323"/>
      <c r="AD71" s="2323"/>
      <c r="AE71" s="2323"/>
      <c r="AF71" s="2323"/>
      <c r="AG71" s="2323"/>
      <c r="AH71" s="2323"/>
      <c r="AI71" s="2323"/>
      <c r="AJ71" s="2323"/>
      <c r="AK71" s="2323"/>
      <c r="AL71" s="2206"/>
      <c r="AM71" s="3399"/>
      <c r="AN71" s="3399"/>
      <c r="AO71" s="2205"/>
      <c r="AP71" s="58"/>
    </row>
    <row r="72" spans="1:104" s="755" customFormat="1" ht="93.75" customHeight="1" x14ac:dyDescent="0.25">
      <c r="A72" s="989"/>
      <c r="B72" s="58"/>
      <c r="C72" s="58"/>
      <c r="D72" s="314"/>
      <c r="E72" s="58"/>
      <c r="F72" s="315"/>
      <c r="G72" s="3401" t="s">
        <v>567</v>
      </c>
      <c r="H72" s="3224">
        <v>36.200000000000003</v>
      </c>
      <c r="I72" s="2877" t="s">
        <v>739</v>
      </c>
      <c r="J72" s="2877" t="s">
        <v>740</v>
      </c>
      <c r="K72" s="3402">
        <v>12</v>
      </c>
      <c r="L72" s="3402" t="s">
        <v>741</v>
      </c>
      <c r="M72" s="3224" t="s">
        <v>742</v>
      </c>
      <c r="N72" s="3407" t="s">
        <v>743</v>
      </c>
      <c r="O72" s="3410">
        <f>(T72+T73+T74)/(P91+P72)</f>
        <v>0.34210526315789475</v>
      </c>
      <c r="P72" s="3413">
        <v>13000000</v>
      </c>
      <c r="Q72" s="3407" t="s">
        <v>744</v>
      </c>
      <c r="R72" s="2877" t="s">
        <v>745</v>
      </c>
      <c r="S72" s="810" t="s">
        <v>746</v>
      </c>
      <c r="T72" s="991">
        <v>6000000</v>
      </c>
      <c r="U72" s="960">
        <v>88</v>
      </c>
      <c r="V72" s="1986" t="s">
        <v>227</v>
      </c>
      <c r="W72" s="3429">
        <v>4500</v>
      </c>
      <c r="X72" s="3404">
        <v>4500</v>
      </c>
      <c r="Y72" s="3404">
        <v>1560</v>
      </c>
      <c r="Z72" s="3404">
        <v>1560</v>
      </c>
      <c r="AA72" s="3404">
        <v>1560</v>
      </c>
      <c r="AB72" s="3422">
        <v>2000</v>
      </c>
      <c r="AC72" s="3422">
        <v>400</v>
      </c>
      <c r="AD72" s="3422">
        <v>400</v>
      </c>
      <c r="AE72" s="3422">
        <v>400</v>
      </c>
      <c r="AF72" s="3422">
        <v>50</v>
      </c>
      <c r="AG72" s="3422">
        <v>50</v>
      </c>
      <c r="AH72" s="3422">
        <v>70</v>
      </c>
      <c r="AI72" s="3422">
        <v>50</v>
      </c>
      <c r="AJ72" s="3422">
        <v>500</v>
      </c>
      <c r="AK72" s="3422">
        <v>400</v>
      </c>
      <c r="AL72" s="3423">
        <v>9000</v>
      </c>
      <c r="AM72" s="3426">
        <v>44033</v>
      </c>
      <c r="AN72" s="3416">
        <v>44195</v>
      </c>
      <c r="AO72" s="3224" t="s">
        <v>652</v>
      </c>
      <c r="AP72" s="58"/>
    </row>
    <row r="73" spans="1:104" s="755" customFormat="1" ht="52.5" customHeight="1" x14ac:dyDescent="0.25">
      <c r="A73" s="989"/>
      <c r="B73" s="58"/>
      <c r="C73" s="58"/>
      <c r="D73" s="314"/>
      <c r="E73" s="58"/>
      <c r="F73" s="315"/>
      <c r="G73" s="2645"/>
      <c r="H73" s="2602"/>
      <c r="I73" s="2878"/>
      <c r="J73" s="2878"/>
      <c r="K73" s="2921"/>
      <c r="L73" s="2921"/>
      <c r="M73" s="2602"/>
      <c r="N73" s="3408"/>
      <c r="O73" s="3411"/>
      <c r="P73" s="3414"/>
      <c r="Q73" s="3408"/>
      <c r="R73" s="2878"/>
      <c r="S73" s="810" t="s">
        <v>747</v>
      </c>
      <c r="T73" s="991">
        <v>6000000</v>
      </c>
      <c r="U73" s="960">
        <v>88</v>
      </c>
      <c r="V73" s="1986" t="s">
        <v>227</v>
      </c>
      <c r="W73" s="3430"/>
      <c r="X73" s="3405"/>
      <c r="Y73" s="3405"/>
      <c r="Z73" s="3405"/>
      <c r="AA73" s="3405"/>
      <c r="AB73" s="2850"/>
      <c r="AC73" s="2850"/>
      <c r="AD73" s="2850"/>
      <c r="AE73" s="2850"/>
      <c r="AF73" s="2850"/>
      <c r="AG73" s="2850"/>
      <c r="AH73" s="2850"/>
      <c r="AI73" s="2850"/>
      <c r="AJ73" s="2850"/>
      <c r="AK73" s="2850"/>
      <c r="AL73" s="3424"/>
      <c r="AM73" s="3427"/>
      <c r="AN73" s="3417"/>
      <c r="AO73" s="2602"/>
      <c r="AP73" s="58"/>
    </row>
    <row r="74" spans="1:104" s="755" customFormat="1" ht="43.5" customHeight="1" x14ac:dyDescent="0.25">
      <c r="A74" s="989"/>
      <c r="B74" s="58"/>
      <c r="C74" s="58"/>
      <c r="D74" s="314"/>
      <c r="E74" s="58"/>
      <c r="F74" s="315"/>
      <c r="G74" s="2646"/>
      <c r="H74" s="2603"/>
      <c r="I74" s="2879"/>
      <c r="J74" s="2879"/>
      <c r="K74" s="2983"/>
      <c r="L74" s="2983"/>
      <c r="M74" s="2603"/>
      <c r="N74" s="3409"/>
      <c r="O74" s="3412"/>
      <c r="P74" s="3415"/>
      <c r="Q74" s="3409"/>
      <c r="R74" s="2879"/>
      <c r="S74" s="810" t="s">
        <v>660</v>
      </c>
      <c r="T74" s="992">
        <v>1000000</v>
      </c>
      <c r="U74" s="964">
        <v>88</v>
      </c>
      <c r="V74" s="1986" t="s">
        <v>227</v>
      </c>
      <c r="W74" s="3430"/>
      <c r="X74" s="3406"/>
      <c r="Y74" s="3406"/>
      <c r="Z74" s="3406"/>
      <c r="AA74" s="3406"/>
      <c r="AB74" s="2851"/>
      <c r="AC74" s="2851"/>
      <c r="AD74" s="2851"/>
      <c r="AE74" s="2851"/>
      <c r="AF74" s="2851"/>
      <c r="AG74" s="2851"/>
      <c r="AH74" s="2851"/>
      <c r="AI74" s="2851"/>
      <c r="AJ74" s="2851"/>
      <c r="AK74" s="2851"/>
      <c r="AL74" s="3425"/>
      <c r="AM74" s="3428"/>
      <c r="AN74" s="3418"/>
      <c r="AO74" s="2603"/>
      <c r="AP74" s="58"/>
    </row>
    <row r="75" spans="1:104" s="996" customFormat="1" ht="45" customHeight="1" x14ac:dyDescent="0.25">
      <c r="A75" s="114"/>
      <c r="B75" s="4"/>
      <c r="C75" s="4"/>
      <c r="D75" s="2859"/>
      <c r="E75" s="3419"/>
      <c r="F75" s="2861"/>
      <c r="G75" s="3420">
        <v>4102022</v>
      </c>
      <c r="H75" s="3101">
        <v>36.1</v>
      </c>
      <c r="I75" s="3102" t="s">
        <v>748</v>
      </c>
      <c r="J75" s="3102" t="s">
        <v>749</v>
      </c>
      <c r="K75" s="2836">
        <v>6</v>
      </c>
      <c r="L75" s="2836" t="s">
        <v>750</v>
      </c>
      <c r="M75" s="3101" t="s">
        <v>751</v>
      </c>
      <c r="N75" s="3432" t="s">
        <v>752</v>
      </c>
      <c r="O75" s="3433" t="e">
        <f>(T80+#REF!)/(P75+P187)</f>
        <v>#REF!</v>
      </c>
      <c r="P75" s="3434">
        <v>55000000</v>
      </c>
      <c r="Q75" s="3432" t="s">
        <v>753</v>
      </c>
      <c r="R75" s="3102" t="s">
        <v>754</v>
      </c>
      <c r="S75" s="793" t="s">
        <v>755</v>
      </c>
      <c r="T75" s="993"/>
      <c r="U75" s="994"/>
      <c r="V75" s="995"/>
      <c r="W75" s="3431">
        <v>2080</v>
      </c>
      <c r="X75" s="3431">
        <v>1920</v>
      </c>
      <c r="Y75" s="3431">
        <v>2500</v>
      </c>
      <c r="Z75" s="3431">
        <v>1500</v>
      </c>
      <c r="AA75" s="3431">
        <v>0</v>
      </c>
      <c r="AB75" s="3431">
        <v>0</v>
      </c>
      <c r="AC75" s="3431">
        <v>40</v>
      </c>
      <c r="AD75" s="3431">
        <v>40</v>
      </c>
      <c r="AE75" s="3431">
        <v>0</v>
      </c>
      <c r="AF75" s="3431">
        <v>0</v>
      </c>
      <c r="AG75" s="3431">
        <v>0</v>
      </c>
      <c r="AH75" s="3431">
        <v>0</v>
      </c>
      <c r="AI75" s="3431">
        <v>40</v>
      </c>
      <c r="AJ75" s="3431">
        <v>0</v>
      </c>
      <c r="AK75" s="3431">
        <v>0</v>
      </c>
      <c r="AL75" s="3431">
        <v>4000</v>
      </c>
      <c r="AM75" s="3435">
        <v>44033</v>
      </c>
      <c r="AN75" s="3435">
        <v>44195</v>
      </c>
      <c r="AO75" s="3436" t="s">
        <v>652</v>
      </c>
      <c r="AP75" s="4"/>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row>
    <row r="76" spans="1:104" s="996" customFormat="1" ht="64.5" customHeight="1" x14ac:dyDescent="0.25">
      <c r="A76" s="114"/>
      <c r="B76" s="4"/>
      <c r="C76" s="4"/>
      <c r="D76" s="2859"/>
      <c r="E76" s="3419"/>
      <c r="F76" s="2861"/>
      <c r="G76" s="3421"/>
      <c r="H76" s="3101"/>
      <c r="I76" s="3102"/>
      <c r="J76" s="3102"/>
      <c r="K76" s="2836"/>
      <c r="L76" s="2836"/>
      <c r="M76" s="3101"/>
      <c r="N76" s="3432"/>
      <c r="O76" s="3433"/>
      <c r="P76" s="3434"/>
      <c r="Q76" s="3432"/>
      <c r="R76" s="3102"/>
      <c r="S76" s="809" t="s">
        <v>756</v>
      </c>
      <c r="T76" s="993"/>
      <c r="U76" s="994"/>
      <c r="V76" s="995"/>
      <c r="W76" s="3431"/>
      <c r="X76" s="3431"/>
      <c r="Y76" s="3431"/>
      <c r="Z76" s="3431"/>
      <c r="AA76" s="3431"/>
      <c r="AB76" s="3431"/>
      <c r="AC76" s="3431"/>
      <c r="AD76" s="3431"/>
      <c r="AE76" s="3431"/>
      <c r="AF76" s="3431"/>
      <c r="AG76" s="3431"/>
      <c r="AH76" s="3431"/>
      <c r="AI76" s="3431"/>
      <c r="AJ76" s="3431"/>
      <c r="AK76" s="3431"/>
      <c r="AL76" s="3431"/>
      <c r="AM76" s="3435"/>
      <c r="AN76" s="3435"/>
      <c r="AO76" s="3436"/>
      <c r="AP76" s="4"/>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row>
    <row r="77" spans="1:104" s="996" customFormat="1" ht="80.25" customHeight="1" x14ac:dyDescent="0.25">
      <c r="A77" s="114"/>
      <c r="B77" s="4"/>
      <c r="C77" s="4"/>
      <c r="D77" s="2859"/>
      <c r="E77" s="3419"/>
      <c r="F77" s="2861"/>
      <c r="G77" s="3421"/>
      <c r="H77" s="3101"/>
      <c r="I77" s="3102"/>
      <c r="J77" s="3102"/>
      <c r="K77" s="2836"/>
      <c r="L77" s="2836"/>
      <c r="M77" s="3101"/>
      <c r="N77" s="3432"/>
      <c r="O77" s="3433"/>
      <c r="P77" s="3434"/>
      <c r="Q77" s="3432"/>
      <c r="R77" s="3102"/>
      <c r="S77" s="809" t="s">
        <v>757</v>
      </c>
      <c r="T77" s="993">
        <v>0</v>
      </c>
      <c r="U77" s="997"/>
      <c r="V77" s="998"/>
      <c r="W77" s="3431"/>
      <c r="X77" s="3431"/>
      <c r="Y77" s="3431"/>
      <c r="Z77" s="3431"/>
      <c r="AA77" s="3431"/>
      <c r="AB77" s="3431"/>
      <c r="AC77" s="3431"/>
      <c r="AD77" s="3431"/>
      <c r="AE77" s="3431"/>
      <c r="AF77" s="3431"/>
      <c r="AG77" s="3431"/>
      <c r="AH77" s="3431"/>
      <c r="AI77" s="3431"/>
      <c r="AJ77" s="3431"/>
      <c r="AK77" s="3431"/>
      <c r="AL77" s="3431"/>
      <c r="AM77" s="3435"/>
      <c r="AN77" s="3435"/>
      <c r="AO77" s="3436"/>
      <c r="AP77" s="4"/>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row>
    <row r="78" spans="1:104" s="996" customFormat="1" ht="57" customHeight="1" x14ac:dyDescent="0.25">
      <c r="A78" s="114"/>
      <c r="B78" s="4"/>
      <c r="C78" s="4"/>
      <c r="D78" s="2859"/>
      <c r="E78" s="3419"/>
      <c r="F78" s="2861"/>
      <c r="G78" s="3421"/>
      <c r="H78" s="3101"/>
      <c r="I78" s="3102"/>
      <c r="J78" s="3102"/>
      <c r="K78" s="2836"/>
      <c r="L78" s="2836"/>
      <c r="M78" s="3101"/>
      <c r="N78" s="3432"/>
      <c r="O78" s="3433"/>
      <c r="P78" s="3434"/>
      <c r="Q78" s="3432"/>
      <c r="R78" s="3102"/>
      <c r="S78" s="809" t="s">
        <v>758</v>
      </c>
      <c r="T78" s="993">
        <v>0</v>
      </c>
      <c r="U78" s="997"/>
      <c r="V78" s="998"/>
      <c r="W78" s="3431"/>
      <c r="X78" s="3431"/>
      <c r="Y78" s="3431"/>
      <c r="Z78" s="3431"/>
      <c r="AA78" s="3431"/>
      <c r="AB78" s="3431"/>
      <c r="AC78" s="3431"/>
      <c r="AD78" s="3431"/>
      <c r="AE78" s="3431"/>
      <c r="AF78" s="3431"/>
      <c r="AG78" s="3431"/>
      <c r="AH78" s="3431"/>
      <c r="AI78" s="3431"/>
      <c r="AJ78" s="3431"/>
      <c r="AK78" s="3431"/>
      <c r="AL78" s="3431"/>
      <c r="AM78" s="3435"/>
      <c r="AN78" s="3435"/>
      <c r="AO78" s="3436"/>
      <c r="AP78" s="4"/>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row>
    <row r="79" spans="1:104" s="996" customFormat="1" ht="57" customHeight="1" x14ac:dyDescent="0.25">
      <c r="A79" s="114"/>
      <c r="B79" s="4"/>
      <c r="C79" s="4"/>
      <c r="D79" s="999"/>
      <c r="E79" s="170"/>
      <c r="F79" s="1000"/>
      <c r="G79" s="3421"/>
      <c r="H79" s="3101"/>
      <c r="I79" s="3102"/>
      <c r="J79" s="3102"/>
      <c r="K79" s="2836"/>
      <c r="L79" s="2836"/>
      <c r="M79" s="3101"/>
      <c r="N79" s="3432"/>
      <c r="O79" s="3433"/>
      <c r="P79" s="3434"/>
      <c r="Q79" s="3432"/>
      <c r="R79" s="3102"/>
      <c r="S79" s="2982" t="s">
        <v>759</v>
      </c>
      <c r="T79" s="993">
        <v>35000000</v>
      </c>
      <c r="U79" s="934">
        <v>20</v>
      </c>
      <c r="V79" s="1986" t="s">
        <v>70</v>
      </c>
      <c r="W79" s="3431"/>
      <c r="X79" s="3431"/>
      <c r="Y79" s="3431"/>
      <c r="Z79" s="3431"/>
      <c r="AA79" s="3431"/>
      <c r="AB79" s="3431"/>
      <c r="AC79" s="3431"/>
      <c r="AD79" s="3431"/>
      <c r="AE79" s="3431"/>
      <c r="AF79" s="3431"/>
      <c r="AG79" s="3431"/>
      <c r="AH79" s="3431"/>
      <c r="AI79" s="3431"/>
      <c r="AJ79" s="3431"/>
      <c r="AK79" s="3431"/>
      <c r="AL79" s="3431"/>
      <c r="AM79" s="3435"/>
      <c r="AN79" s="3435"/>
      <c r="AO79" s="3436"/>
      <c r="AP79" s="4"/>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row>
    <row r="80" spans="1:104" ht="157.5" customHeight="1" x14ac:dyDescent="0.25">
      <c r="A80" s="114"/>
      <c r="B80" s="4"/>
      <c r="C80" s="4"/>
      <c r="D80" s="999"/>
      <c r="E80" s="170"/>
      <c r="F80" s="1000"/>
      <c r="G80" s="3421"/>
      <c r="H80" s="3101"/>
      <c r="I80" s="3102"/>
      <c r="J80" s="3102"/>
      <c r="K80" s="2836"/>
      <c r="L80" s="2836"/>
      <c r="M80" s="3101"/>
      <c r="N80" s="3432"/>
      <c r="O80" s="3433"/>
      <c r="P80" s="3434"/>
      <c r="Q80" s="3432"/>
      <c r="R80" s="3102"/>
      <c r="S80" s="2879"/>
      <c r="T80" s="993">
        <v>20000000</v>
      </c>
      <c r="U80" s="994">
        <v>88</v>
      </c>
      <c r="V80" s="1986" t="s">
        <v>227</v>
      </c>
      <c r="W80" s="3431"/>
      <c r="X80" s="3431"/>
      <c r="Y80" s="3431"/>
      <c r="Z80" s="3431"/>
      <c r="AA80" s="3431"/>
      <c r="AB80" s="3431"/>
      <c r="AC80" s="3431"/>
      <c r="AD80" s="3431"/>
      <c r="AE80" s="3431"/>
      <c r="AF80" s="3431"/>
      <c r="AG80" s="3431"/>
      <c r="AH80" s="3431"/>
      <c r="AI80" s="3431"/>
      <c r="AJ80" s="3431"/>
      <c r="AK80" s="3431"/>
      <c r="AL80" s="3431"/>
      <c r="AM80" s="3435"/>
      <c r="AN80" s="3435"/>
      <c r="AO80" s="3436"/>
      <c r="AP80" s="4"/>
    </row>
    <row r="81" spans="1:42" ht="76.5" customHeight="1" x14ac:dyDescent="0.25">
      <c r="A81" s="114"/>
      <c r="B81" s="4"/>
      <c r="C81" s="4"/>
      <c r="D81" s="2859"/>
      <c r="E81" s="3419"/>
      <c r="F81" s="2861"/>
      <c r="G81" s="2278">
        <v>4102038</v>
      </c>
      <c r="H81" s="2707">
        <v>36.6</v>
      </c>
      <c r="I81" s="2442" t="s">
        <v>760</v>
      </c>
      <c r="J81" s="2442" t="s">
        <v>761</v>
      </c>
      <c r="K81" s="2307">
        <v>10</v>
      </c>
      <c r="L81" s="2307" t="s">
        <v>762</v>
      </c>
      <c r="M81" s="3441" t="s">
        <v>763</v>
      </c>
      <c r="N81" s="3443" t="s">
        <v>764</v>
      </c>
      <c r="O81" s="3445">
        <v>1</v>
      </c>
      <c r="P81" s="3447">
        <v>14000000</v>
      </c>
      <c r="Q81" s="3443" t="s">
        <v>765</v>
      </c>
      <c r="R81" s="2207" t="s">
        <v>766</v>
      </c>
      <c r="S81" s="760" t="s">
        <v>674</v>
      </c>
      <c r="T81" s="1001">
        <v>5000000</v>
      </c>
      <c r="U81" s="1002">
        <v>88</v>
      </c>
      <c r="V81" s="1986" t="s">
        <v>227</v>
      </c>
      <c r="W81" s="3440">
        <v>0</v>
      </c>
      <c r="X81" s="3440">
        <v>10</v>
      </c>
      <c r="Y81" s="3440">
        <v>0</v>
      </c>
      <c r="Z81" s="3440">
        <v>10</v>
      </c>
      <c r="AA81" s="3440">
        <v>0</v>
      </c>
      <c r="AB81" s="3440">
        <v>0</v>
      </c>
      <c r="AC81" s="3440">
        <v>0</v>
      </c>
      <c r="AD81" s="3440">
        <v>0</v>
      </c>
      <c r="AE81" s="3440">
        <v>0</v>
      </c>
      <c r="AF81" s="3440">
        <v>0</v>
      </c>
      <c r="AG81" s="3440">
        <v>0</v>
      </c>
      <c r="AH81" s="3440">
        <v>0</v>
      </c>
      <c r="AI81" s="3440">
        <v>0</v>
      </c>
      <c r="AJ81" s="3440">
        <v>0</v>
      </c>
      <c r="AK81" s="2226">
        <v>2</v>
      </c>
      <c r="AL81" s="3440">
        <v>46</v>
      </c>
      <c r="AM81" s="3449">
        <v>44033</v>
      </c>
      <c r="AN81" s="3449">
        <v>44195</v>
      </c>
      <c r="AO81" s="2205" t="s">
        <v>652</v>
      </c>
      <c r="AP81" s="4"/>
    </row>
    <row r="82" spans="1:42" ht="54.75" customHeight="1" x14ac:dyDescent="0.25">
      <c r="A82" s="114"/>
      <c r="B82" s="4"/>
      <c r="C82" s="4"/>
      <c r="D82" s="2859"/>
      <c r="E82" s="3419"/>
      <c r="F82" s="2861"/>
      <c r="G82" s="2279"/>
      <c r="H82" s="2668"/>
      <c r="I82" s="2267"/>
      <c r="J82" s="2267"/>
      <c r="K82" s="2323"/>
      <c r="L82" s="2323"/>
      <c r="M82" s="3441"/>
      <c r="N82" s="3444"/>
      <c r="O82" s="3446"/>
      <c r="P82" s="3448"/>
      <c r="Q82" s="3444"/>
      <c r="R82" s="2208"/>
      <c r="S82" s="757" t="s">
        <v>767</v>
      </c>
      <c r="T82" s="988">
        <v>5000000</v>
      </c>
      <c r="U82" s="975">
        <v>88</v>
      </c>
      <c r="V82" s="1986" t="s">
        <v>227</v>
      </c>
      <c r="W82" s="2963"/>
      <c r="X82" s="2963"/>
      <c r="Y82" s="2963"/>
      <c r="Z82" s="2963"/>
      <c r="AA82" s="2963"/>
      <c r="AB82" s="2963"/>
      <c r="AC82" s="2963"/>
      <c r="AD82" s="2963"/>
      <c r="AE82" s="2963"/>
      <c r="AF82" s="2963"/>
      <c r="AG82" s="2963"/>
      <c r="AH82" s="2963"/>
      <c r="AI82" s="2963"/>
      <c r="AJ82" s="2963"/>
      <c r="AK82" s="2227"/>
      <c r="AL82" s="2963"/>
      <c r="AM82" s="3450"/>
      <c r="AN82" s="3450"/>
      <c r="AO82" s="2206"/>
    </row>
    <row r="83" spans="1:42" ht="54.75" customHeight="1" x14ac:dyDescent="0.25">
      <c r="A83" s="114"/>
      <c r="B83" s="4"/>
      <c r="C83" s="4"/>
      <c r="D83" s="2859"/>
      <c r="E83" s="3419"/>
      <c r="F83" s="2861"/>
      <c r="G83" s="2279"/>
      <c r="H83" s="2668"/>
      <c r="I83" s="2267"/>
      <c r="J83" s="2267"/>
      <c r="K83" s="2323"/>
      <c r="L83" s="2323"/>
      <c r="M83" s="3441"/>
      <c r="N83" s="3444"/>
      <c r="O83" s="3446"/>
      <c r="P83" s="3448"/>
      <c r="Q83" s="3444"/>
      <c r="R83" s="2208"/>
      <c r="S83" s="757" t="s">
        <v>768</v>
      </c>
      <c r="T83" s="988">
        <v>4000000</v>
      </c>
      <c r="U83" s="975">
        <v>88</v>
      </c>
      <c r="V83" s="1986" t="s">
        <v>227</v>
      </c>
      <c r="W83" s="2963"/>
      <c r="X83" s="2963"/>
      <c r="Y83" s="2963"/>
      <c r="Z83" s="2963"/>
      <c r="AA83" s="2963"/>
      <c r="AB83" s="2963"/>
      <c r="AC83" s="2963"/>
      <c r="AD83" s="2963"/>
      <c r="AE83" s="2963"/>
      <c r="AF83" s="2963"/>
      <c r="AG83" s="2963"/>
      <c r="AH83" s="2963"/>
      <c r="AI83" s="2963"/>
      <c r="AJ83" s="2963"/>
      <c r="AK83" s="2227"/>
      <c r="AL83" s="2963"/>
      <c r="AM83" s="3450"/>
      <c r="AN83" s="3450"/>
      <c r="AO83" s="2206"/>
    </row>
    <row r="84" spans="1:42" ht="69" customHeight="1" x14ac:dyDescent="0.25">
      <c r="A84" s="114"/>
      <c r="B84" s="4"/>
      <c r="C84" s="4"/>
      <c r="D84" s="3437"/>
      <c r="E84" s="3438"/>
      <c r="F84" s="3439"/>
      <c r="G84" s="2280"/>
      <c r="H84" s="2668"/>
      <c r="I84" s="2267"/>
      <c r="J84" s="2267"/>
      <c r="K84" s="2323"/>
      <c r="L84" s="2323"/>
      <c r="M84" s="3442"/>
      <c r="N84" s="3444"/>
      <c r="O84" s="3446"/>
      <c r="P84" s="3448"/>
      <c r="Q84" s="3444"/>
      <c r="R84" s="2208"/>
      <c r="S84" s="757" t="s">
        <v>769</v>
      </c>
      <c r="T84" s="988">
        <v>0</v>
      </c>
      <c r="U84" s="975">
        <v>88</v>
      </c>
      <c r="V84" s="1986" t="s">
        <v>227</v>
      </c>
      <c r="W84" s="2963"/>
      <c r="X84" s="2963"/>
      <c r="Y84" s="2963"/>
      <c r="Z84" s="2963"/>
      <c r="AA84" s="2963"/>
      <c r="AB84" s="2963"/>
      <c r="AC84" s="2963"/>
      <c r="AD84" s="2963"/>
      <c r="AE84" s="2963"/>
      <c r="AF84" s="2963"/>
      <c r="AG84" s="2963"/>
      <c r="AH84" s="2963"/>
      <c r="AI84" s="2963"/>
      <c r="AJ84" s="2963"/>
      <c r="AK84" s="2227"/>
      <c r="AL84" s="2963"/>
      <c r="AM84" s="3450"/>
      <c r="AN84" s="3450"/>
      <c r="AO84" s="2206"/>
    </row>
    <row r="85" spans="1:42" ht="15.75" x14ac:dyDescent="0.25">
      <c r="A85" s="114"/>
      <c r="B85" s="4"/>
      <c r="C85" s="4"/>
      <c r="D85" s="1003">
        <v>37</v>
      </c>
      <c r="E85" s="1004" t="s">
        <v>770</v>
      </c>
      <c r="F85" s="1005"/>
      <c r="G85" s="1006"/>
      <c r="H85" s="1007"/>
      <c r="I85" s="1008"/>
      <c r="J85" s="1008"/>
      <c r="K85" s="1008"/>
      <c r="L85" s="1007"/>
      <c r="M85" s="1009"/>
      <c r="N85" s="1008"/>
      <c r="O85" s="1010"/>
      <c r="P85" s="1011"/>
      <c r="Q85" s="1008"/>
      <c r="R85" s="1008"/>
      <c r="S85" s="1008"/>
      <c r="T85" s="1012"/>
      <c r="U85" s="1013"/>
      <c r="V85" s="1014"/>
      <c r="W85" s="1015"/>
      <c r="X85" s="1015"/>
      <c r="Y85" s="1015"/>
      <c r="Z85" s="1015"/>
      <c r="AA85" s="1015"/>
      <c r="AB85" s="1015"/>
      <c r="AC85" s="1015"/>
      <c r="AD85" s="1015"/>
      <c r="AE85" s="1015"/>
      <c r="AF85" s="1015"/>
      <c r="AG85" s="1015"/>
      <c r="AH85" s="1015"/>
      <c r="AI85" s="1015"/>
      <c r="AJ85" s="1015"/>
      <c r="AK85" s="1015"/>
      <c r="AL85" s="1015"/>
      <c r="AM85" s="1015"/>
      <c r="AN85" s="1015"/>
      <c r="AO85" s="1007"/>
    </row>
    <row r="86" spans="1:42" s="755" customFormat="1" ht="118.5" customHeight="1" x14ac:dyDescent="0.25">
      <c r="A86" s="989"/>
      <c r="B86" s="58"/>
      <c r="C86" s="58"/>
      <c r="D86" s="309"/>
      <c r="E86" s="225"/>
      <c r="F86" s="310"/>
      <c r="G86" s="702">
        <v>4103059</v>
      </c>
      <c r="H86" s="1016">
        <v>37.4</v>
      </c>
      <c r="I86" s="806" t="s">
        <v>771</v>
      </c>
      <c r="J86" s="793" t="s">
        <v>772</v>
      </c>
      <c r="K86" s="816">
        <v>8</v>
      </c>
      <c r="L86" s="1682" t="s">
        <v>665</v>
      </c>
      <c r="M86" s="797" t="s">
        <v>666</v>
      </c>
      <c r="N86" s="806" t="s">
        <v>667</v>
      </c>
      <c r="O86" s="1017">
        <f>(T86)/(P86+P61+P21)</f>
        <v>0.23601054900721463</v>
      </c>
      <c r="P86" s="1018">
        <v>27000000</v>
      </c>
      <c r="Q86" s="322" t="s">
        <v>668</v>
      </c>
      <c r="R86" s="793" t="s">
        <v>669</v>
      </c>
      <c r="S86" s="806" t="s">
        <v>773</v>
      </c>
      <c r="T86" s="1019">
        <v>27000000</v>
      </c>
      <c r="U86" s="1020">
        <v>88</v>
      </c>
      <c r="V86" s="1986" t="s">
        <v>227</v>
      </c>
      <c r="W86" s="802">
        <v>4</v>
      </c>
      <c r="X86" s="802">
        <v>4</v>
      </c>
      <c r="Y86" s="802">
        <v>0</v>
      </c>
      <c r="Z86" s="802">
        <v>0</v>
      </c>
      <c r="AA86" s="1021">
        <v>0</v>
      </c>
      <c r="AB86" s="802">
        <v>0</v>
      </c>
      <c r="AC86" s="802">
        <v>0</v>
      </c>
      <c r="AD86" s="802">
        <v>0</v>
      </c>
      <c r="AE86" s="802">
        <v>0</v>
      </c>
      <c r="AF86" s="802">
        <v>0</v>
      </c>
      <c r="AG86" s="802">
        <v>0</v>
      </c>
      <c r="AH86" s="802">
        <v>0</v>
      </c>
      <c r="AI86" s="802">
        <v>0</v>
      </c>
      <c r="AJ86" s="802">
        <v>0</v>
      </c>
      <c r="AK86" s="802">
        <v>0</v>
      </c>
      <c r="AL86" s="802">
        <v>8</v>
      </c>
      <c r="AM86" s="1022">
        <v>43832</v>
      </c>
      <c r="AN86" s="1022">
        <v>44195</v>
      </c>
      <c r="AO86" s="797" t="s">
        <v>652</v>
      </c>
    </row>
    <row r="87" spans="1:42" ht="72" customHeight="1" x14ac:dyDescent="0.25">
      <c r="A87" s="114"/>
      <c r="B87" s="4"/>
      <c r="C87" s="4"/>
      <c r="D87" s="845"/>
      <c r="E87" s="4"/>
      <c r="F87" s="115"/>
      <c r="G87" s="3451">
        <v>4103052</v>
      </c>
      <c r="H87" s="2920">
        <v>37.200000000000003</v>
      </c>
      <c r="I87" s="2171" t="s">
        <v>774</v>
      </c>
      <c r="J87" s="2268" t="s">
        <v>775</v>
      </c>
      <c r="K87" s="2260">
        <v>1</v>
      </c>
      <c r="L87" s="2182" t="s">
        <v>776</v>
      </c>
      <c r="M87" s="2190" t="s">
        <v>777</v>
      </c>
      <c r="N87" s="2285" t="s">
        <v>778</v>
      </c>
      <c r="O87" s="2624">
        <v>1</v>
      </c>
      <c r="P87" s="3458">
        <v>44520000</v>
      </c>
      <c r="Q87" s="2285" t="s">
        <v>779</v>
      </c>
      <c r="R87" s="2285" t="s">
        <v>780</v>
      </c>
      <c r="S87" s="763" t="s">
        <v>781</v>
      </c>
      <c r="T87" s="1023">
        <v>0</v>
      </c>
      <c r="U87" s="934">
        <v>20</v>
      </c>
      <c r="V87" s="1986" t="s">
        <v>70</v>
      </c>
      <c r="W87" s="2190">
        <v>704</v>
      </c>
      <c r="X87" s="2190">
        <v>896</v>
      </c>
      <c r="Y87" s="2190">
        <v>0</v>
      </c>
      <c r="Z87" s="2190">
        <v>0</v>
      </c>
      <c r="AA87" s="2190">
        <v>0</v>
      </c>
      <c r="AB87" s="2190">
        <v>0</v>
      </c>
      <c r="AC87" s="2190">
        <v>0</v>
      </c>
      <c r="AD87" s="2190">
        <v>0</v>
      </c>
      <c r="AE87" s="2190">
        <v>0</v>
      </c>
      <c r="AF87" s="2190">
        <v>0</v>
      </c>
      <c r="AG87" s="2190">
        <v>0</v>
      </c>
      <c r="AH87" s="2190">
        <v>0</v>
      </c>
      <c r="AI87" s="2190">
        <v>0</v>
      </c>
      <c r="AJ87" s="2190">
        <v>0</v>
      </c>
      <c r="AK87" s="2190">
        <v>0</v>
      </c>
      <c r="AL87" s="2180">
        <v>1600</v>
      </c>
      <c r="AM87" s="3453">
        <v>43832</v>
      </c>
      <c r="AN87" s="3453">
        <v>44195</v>
      </c>
      <c r="AO87" s="2180" t="s">
        <v>652</v>
      </c>
    </row>
    <row r="88" spans="1:42" ht="91.5" customHeight="1" x14ac:dyDescent="0.25">
      <c r="A88" s="114"/>
      <c r="B88" s="4"/>
      <c r="C88" s="4"/>
      <c r="D88" s="845"/>
      <c r="E88" s="4"/>
      <c r="F88" s="115"/>
      <c r="G88" s="3452"/>
      <c r="H88" s="2921"/>
      <c r="I88" s="2172"/>
      <c r="J88" s="2269"/>
      <c r="K88" s="2261"/>
      <c r="L88" s="2183"/>
      <c r="M88" s="2191"/>
      <c r="N88" s="2286"/>
      <c r="O88" s="2625"/>
      <c r="P88" s="3414"/>
      <c r="Q88" s="2286"/>
      <c r="R88" s="2286"/>
      <c r="S88" s="1024" t="s">
        <v>782</v>
      </c>
      <c r="T88" s="1025">
        <v>9520000</v>
      </c>
      <c r="U88" s="934">
        <v>20</v>
      </c>
      <c r="V88" s="1986" t="s">
        <v>70</v>
      </c>
      <c r="W88" s="2191"/>
      <c r="X88" s="2191"/>
      <c r="Y88" s="2191"/>
      <c r="Z88" s="2191"/>
      <c r="AA88" s="2191"/>
      <c r="AB88" s="2191"/>
      <c r="AC88" s="2191"/>
      <c r="AD88" s="2191"/>
      <c r="AE88" s="2191"/>
      <c r="AF88" s="2191"/>
      <c r="AG88" s="2191"/>
      <c r="AH88" s="2191"/>
      <c r="AI88" s="2191"/>
      <c r="AJ88" s="2191"/>
      <c r="AK88" s="2191"/>
      <c r="AL88" s="2180"/>
      <c r="AM88" s="3453"/>
      <c r="AN88" s="3453"/>
      <c r="AO88" s="2180"/>
    </row>
    <row r="89" spans="1:42" ht="54.75" customHeight="1" x14ac:dyDescent="0.25">
      <c r="A89" s="114"/>
      <c r="B89" s="4"/>
      <c r="C89" s="4"/>
      <c r="D89" s="845"/>
      <c r="E89" s="4"/>
      <c r="F89" s="115"/>
      <c r="G89" s="3452"/>
      <c r="H89" s="2921"/>
      <c r="I89" s="2172"/>
      <c r="J89" s="2269"/>
      <c r="K89" s="2261"/>
      <c r="L89" s="2183"/>
      <c r="M89" s="2191"/>
      <c r="N89" s="2286"/>
      <c r="O89" s="2625"/>
      <c r="P89" s="3414"/>
      <c r="Q89" s="2286"/>
      <c r="R89" s="2286"/>
      <c r="S89" s="1026" t="s">
        <v>783</v>
      </c>
      <c r="T89" s="1027">
        <v>35000000</v>
      </c>
      <c r="U89" s="934">
        <v>20</v>
      </c>
      <c r="V89" s="1986" t="s">
        <v>70</v>
      </c>
      <c r="W89" s="2191"/>
      <c r="X89" s="2191"/>
      <c r="Y89" s="2191"/>
      <c r="Z89" s="2191"/>
      <c r="AA89" s="2191"/>
      <c r="AB89" s="2191"/>
      <c r="AC89" s="2191"/>
      <c r="AD89" s="2191"/>
      <c r="AE89" s="2191"/>
      <c r="AF89" s="2191"/>
      <c r="AG89" s="2191"/>
      <c r="AH89" s="2191"/>
      <c r="AI89" s="2191"/>
      <c r="AJ89" s="2191"/>
      <c r="AK89" s="2191"/>
      <c r="AL89" s="2180"/>
      <c r="AM89" s="3453"/>
      <c r="AN89" s="3453"/>
      <c r="AO89" s="2180"/>
    </row>
    <row r="90" spans="1:42" ht="38.25" customHeight="1" x14ac:dyDescent="0.25">
      <c r="A90" s="114"/>
      <c r="B90" s="4"/>
      <c r="C90" s="4"/>
      <c r="D90" s="845"/>
      <c r="E90" s="4"/>
      <c r="F90" s="115"/>
      <c r="G90" s="3452"/>
      <c r="H90" s="2921"/>
      <c r="I90" s="2172"/>
      <c r="J90" s="2269"/>
      <c r="K90" s="2261"/>
      <c r="L90" s="2183"/>
      <c r="M90" s="2191"/>
      <c r="N90" s="2286"/>
      <c r="O90" s="2625"/>
      <c r="P90" s="3414"/>
      <c r="Q90" s="2286"/>
      <c r="R90" s="2286"/>
      <c r="S90" s="761" t="s">
        <v>784</v>
      </c>
      <c r="T90" s="1028">
        <v>0</v>
      </c>
      <c r="U90" s="934">
        <v>20</v>
      </c>
      <c r="V90" s="1986" t="s">
        <v>70</v>
      </c>
      <c r="W90" s="2257"/>
      <c r="X90" s="2257"/>
      <c r="Y90" s="2257"/>
      <c r="Z90" s="2257"/>
      <c r="AA90" s="2257"/>
      <c r="AB90" s="2257"/>
      <c r="AC90" s="2257"/>
      <c r="AD90" s="2257"/>
      <c r="AE90" s="2257"/>
      <c r="AF90" s="2257"/>
      <c r="AG90" s="2257"/>
      <c r="AH90" s="2257"/>
      <c r="AI90" s="2257"/>
      <c r="AJ90" s="2257"/>
      <c r="AK90" s="2257"/>
      <c r="AL90" s="2180"/>
      <c r="AM90" s="3453"/>
      <c r="AN90" s="3453"/>
      <c r="AO90" s="2180"/>
    </row>
    <row r="91" spans="1:42" s="755" customFormat="1" ht="62.25" customHeight="1" x14ac:dyDescent="0.25">
      <c r="A91" s="989"/>
      <c r="B91" s="58"/>
      <c r="C91" s="3454"/>
      <c r="D91" s="3455"/>
      <c r="E91" s="3454"/>
      <c r="F91" s="2991"/>
      <c r="G91" s="3456">
        <v>4103050</v>
      </c>
      <c r="H91" s="2668">
        <v>37.1</v>
      </c>
      <c r="I91" s="2772" t="s">
        <v>785</v>
      </c>
      <c r="J91" s="2864" t="s">
        <v>786</v>
      </c>
      <c r="K91" s="2872">
        <v>12</v>
      </c>
      <c r="L91" s="2872" t="s">
        <v>741</v>
      </c>
      <c r="M91" s="2668" t="s">
        <v>742</v>
      </c>
      <c r="N91" s="3459" t="s">
        <v>743</v>
      </c>
      <c r="O91" s="3472">
        <f>(T91+T92)/(P91+P72)</f>
        <v>0.65789473684210531</v>
      </c>
      <c r="P91" s="3448">
        <v>25000000</v>
      </c>
      <c r="Q91" s="3459" t="s">
        <v>744</v>
      </c>
      <c r="R91" s="2864" t="s">
        <v>745</v>
      </c>
      <c r="S91" s="789" t="s">
        <v>787</v>
      </c>
      <c r="T91" s="959">
        <v>21000000</v>
      </c>
      <c r="U91" s="960">
        <v>88</v>
      </c>
      <c r="V91" s="1986" t="s">
        <v>227</v>
      </c>
      <c r="W91" s="3460">
        <v>4500</v>
      </c>
      <c r="X91" s="3460">
        <v>4500</v>
      </c>
      <c r="Y91" s="3460">
        <v>1560</v>
      </c>
      <c r="Z91" s="3460">
        <v>1560</v>
      </c>
      <c r="AA91" s="3460">
        <v>1560</v>
      </c>
      <c r="AB91" s="3080">
        <v>2000</v>
      </c>
      <c r="AC91" s="3080">
        <v>400</v>
      </c>
      <c r="AD91" s="3080">
        <v>400</v>
      </c>
      <c r="AE91" s="3080">
        <v>400</v>
      </c>
      <c r="AF91" s="3080">
        <v>50</v>
      </c>
      <c r="AG91" s="3080">
        <v>50</v>
      </c>
      <c r="AH91" s="3080">
        <v>70</v>
      </c>
      <c r="AI91" s="3080">
        <v>50</v>
      </c>
      <c r="AJ91" s="3080">
        <v>500</v>
      </c>
      <c r="AK91" s="3080">
        <v>400</v>
      </c>
      <c r="AL91" s="3462">
        <v>9000</v>
      </c>
      <c r="AM91" s="3464">
        <v>44033</v>
      </c>
      <c r="AN91" s="3464">
        <v>44195</v>
      </c>
      <c r="AO91" s="2707" t="s">
        <v>652</v>
      </c>
    </row>
    <row r="92" spans="1:42" s="755" customFormat="1" ht="62.25" customHeight="1" x14ac:dyDescent="0.25">
      <c r="A92" s="989"/>
      <c r="B92" s="58"/>
      <c r="C92" s="3454"/>
      <c r="D92" s="3455"/>
      <c r="E92" s="3454"/>
      <c r="F92" s="2991"/>
      <c r="G92" s="3457"/>
      <c r="H92" s="2668"/>
      <c r="I92" s="2772"/>
      <c r="J92" s="2864"/>
      <c r="K92" s="3258"/>
      <c r="L92" s="2872"/>
      <c r="M92" s="2668"/>
      <c r="N92" s="3459"/>
      <c r="O92" s="3472"/>
      <c r="P92" s="3448"/>
      <c r="Q92" s="3459"/>
      <c r="R92" s="2864"/>
      <c r="S92" s="789" t="s">
        <v>788</v>
      </c>
      <c r="T92" s="959">
        <v>4000000</v>
      </c>
      <c r="U92" s="960">
        <v>88</v>
      </c>
      <c r="V92" s="1986" t="s">
        <v>227</v>
      </c>
      <c r="W92" s="3461"/>
      <c r="X92" s="3461"/>
      <c r="Y92" s="3461"/>
      <c r="Z92" s="3461"/>
      <c r="AA92" s="3461"/>
      <c r="AB92" s="2248"/>
      <c r="AC92" s="2248"/>
      <c r="AD92" s="2248"/>
      <c r="AE92" s="2248"/>
      <c r="AF92" s="2248"/>
      <c r="AG92" s="2248"/>
      <c r="AH92" s="2248"/>
      <c r="AI92" s="2248"/>
      <c r="AJ92" s="2248"/>
      <c r="AK92" s="2248"/>
      <c r="AL92" s="3463"/>
      <c r="AM92" s="3465"/>
      <c r="AN92" s="3465"/>
      <c r="AO92" s="2668"/>
    </row>
    <row r="93" spans="1:42" s="755" customFormat="1" ht="55.5" customHeight="1" x14ac:dyDescent="0.25">
      <c r="A93" s="989"/>
      <c r="B93" s="58"/>
      <c r="C93" s="58"/>
      <c r="D93" s="314"/>
      <c r="E93" s="58"/>
      <c r="F93" s="315"/>
      <c r="G93" s="2585">
        <v>4103058</v>
      </c>
      <c r="H93" s="2925" t="s">
        <v>789</v>
      </c>
      <c r="I93" s="2891" t="s">
        <v>790</v>
      </c>
      <c r="J93" s="3467" t="s">
        <v>791</v>
      </c>
      <c r="K93" s="3469">
        <v>1</v>
      </c>
      <c r="L93" s="3259" t="s">
        <v>792</v>
      </c>
      <c r="M93" s="2707" t="s">
        <v>793</v>
      </c>
      <c r="N93" s="3253" t="s">
        <v>794</v>
      </c>
      <c r="O93" s="3480">
        <f>SUM(T93:T95)/(P93+P107)</f>
        <v>0.40909090909090912</v>
      </c>
      <c r="P93" s="3447">
        <v>27000000</v>
      </c>
      <c r="Q93" s="3253" t="s">
        <v>795</v>
      </c>
      <c r="R93" s="3253" t="s">
        <v>796</v>
      </c>
      <c r="S93" s="3476" t="s">
        <v>797</v>
      </c>
      <c r="T93" s="1029">
        <v>10000000</v>
      </c>
      <c r="U93" s="934">
        <v>20</v>
      </c>
      <c r="V93" s="1986" t="s">
        <v>70</v>
      </c>
      <c r="W93" s="3477">
        <v>2360</v>
      </c>
      <c r="X93" s="3477">
        <v>1500</v>
      </c>
      <c r="Y93" s="3473">
        <v>480</v>
      </c>
      <c r="Z93" s="3473">
        <v>1200</v>
      </c>
      <c r="AA93" s="3473">
        <v>1500</v>
      </c>
      <c r="AB93" s="3473">
        <v>20</v>
      </c>
      <c r="AC93" s="3473">
        <v>20</v>
      </c>
      <c r="AD93" s="3473">
        <v>0</v>
      </c>
      <c r="AE93" s="3473">
        <v>0</v>
      </c>
      <c r="AF93" s="3473">
        <v>0</v>
      </c>
      <c r="AG93" s="3473">
        <v>0</v>
      </c>
      <c r="AH93" s="3473">
        <v>0</v>
      </c>
      <c r="AI93" s="3473">
        <v>1000</v>
      </c>
      <c r="AJ93" s="3473">
        <v>4720</v>
      </c>
      <c r="AK93" s="3473">
        <v>0</v>
      </c>
      <c r="AL93" s="3473">
        <v>4720</v>
      </c>
      <c r="AM93" s="3426">
        <v>44033</v>
      </c>
      <c r="AN93" s="3426">
        <v>44195</v>
      </c>
      <c r="AO93" s="3224" t="s">
        <v>652</v>
      </c>
    </row>
    <row r="94" spans="1:42" s="755" customFormat="1" ht="57.75" customHeight="1" x14ac:dyDescent="0.25">
      <c r="A94" s="989"/>
      <c r="B94" s="58"/>
      <c r="C94" s="58"/>
      <c r="D94" s="314"/>
      <c r="E94" s="58"/>
      <c r="F94" s="315"/>
      <c r="G94" s="2586"/>
      <c r="H94" s="2597"/>
      <c r="I94" s="2426"/>
      <c r="J94" s="3385"/>
      <c r="K94" s="3470"/>
      <c r="L94" s="2872"/>
      <c r="M94" s="2668"/>
      <c r="N94" s="2772"/>
      <c r="O94" s="3481"/>
      <c r="P94" s="3448"/>
      <c r="Q94" s="2772"/>
      <c r="R94" s="2772"/>
      <c r="S94" s="3253"/>
      <c r="T94" s="959">
        <v>10000000</v>
      </c>
      <c r="U94" s="1030">
        <v>88</v>
      </c>
      <c r="V94" s="1986" t="s">
        <v>227</v>
      </c>
      <c r="W94" s="3478"/>
      <c r="X94" s="3478"/>
      <c r="Y94" s="3474"/>
      <c r="Z94" s="3474"/>
      <c r="AA94" s="3474"/>
      <c r="AB94" s="3474"/>
      <c r="AC94" s="3474"/>
      <c r="AD94" s="3474"/>
      <c r="AE94" s="3474"/>
      <c r="AF94" s="3474"/>
      <c r="AG94" s="3474"/>
      <c r="AH94" s="3474"/>
      <c r="AI94" s="3474"/>
      <c r="AJ94" s="3474"/>
      <c r="AK94" s="3474"/>
      <c r="AL94" s="3474"/>
      <c r="AM94" s="3427"/>
      <c r="AN94" s="3427"/>
      <c r="AO94" s="2602"/>
    </row>
    <row r="95" spans="1:42" s="755" customFormat="1" ht="66.75" customHeight="1" x14ac:dyDescent="0.25">
      <c r="A95" s="989"/>
      <c r="B95" s="58"/>
      <c r="C95" s="58"/>
      <c r="D95" s="314"/>
      <c r="E95" s="58"/>
      <c r="F95" s="315"/>
      <c r="G95" s="3466"/>
      <c r="H95" s="2937"/>
      <c r="I95" s="2725"/>
      <c r="J95" s="3468"/>
      <c r="K95" s="3471"/>
      <c r="L95" s="3258"/>
      <c r="M95" s="2735"/>
      <c r="N95" s="2772"/>
      <c r="O95" s="3482"/>
      <c r="P95" s="3483"/>
      <c r="Q95" s="2772"/>
      <c r="R95" s="2772"/>
      <c r="S95" s="791" t="s">
        <v>798</v>
      </c>
      <c r="T95" s="963">
        <v>7000000</v>
      </c>
      <c r="U95" s="934">
        <v>20</v>
      </c>
      <c r="V95" s="1986" t="s">
        <v>70</v>
      </c>
      <c r="W95" s="3479"/>
      <c r="X95" s="3479"/>
      <c r="Y95" s="3475"/>
      <c r="Z95" s="3475"/>
      <c r="AA95" s="3475"/>
      <c r="AB95" s="3475"/>
      <c r="AC95" s="3475"/>
      <c r="AD95" s="3475"/>
      <c r="AE95" s="3475"/>
      <c r="AF95" s="3475"/>
      <c r="AG95" s="3475"/>
      <c r="AH95" s="3475"/>
      <c r="AI95" s="3475"/>
      <c r="AJ95" s="3475"/>
      <c r="AK95" s="3475"/>
      <c r="AL95" s="3475"/>
      <c r="AM95" s="3428"/>
      <c r="AN95" s="3428"/>
      <c r="AO95" s="2603"/>
    </row>
    <row r="96" spans="1:42" ht="62.25" customHeight="1" x14ac:dyDescent="0.25">
      <c r="A96" s="114"/>
      <c r="B96" s="4"/>
      <c r="C96" s="4"/>
      <c r="D96" s="845"/>
      <c r="E96" s="4"/>
      <c r="F96" s="115"/>
      <c r="G96" s="3484" t="s">
        <v>567</v>
      </c>
      <c r="H96" s="2597">
        <v>37.5</v>
      </c>
      <c r="I96" s="2247" t="s">
        <v>799</v>
      </c>
      <c r="J96" s="2267" t="s">
        <v>800</v>
      </c>
      <c r="K96" s="2306">
        <v>2</v>
      </c>
      <c r="L96" s="2212" t="s">
        <v>801</v>
      </c>
      <c r="M96" s="2206" t="s">
        <v>802</v>
      </c>
      <c r="N96" s="2495" t="s">
        <v>803</v>
      </c>
      <c r="O96" s="2669">
        <v>0.37735849056603776</v>
      </c>
      <c r="P96" s="3448">
        <v>79500000</v>
      </c>
      <c r="Q96" s="2632" t="s">
        <v>804</v>
      </c>
      <c r="R96" s="2635" t="s">
        <v>805</v>
      </c>
      <c r="S96" s="775" t="s">
        <v>806</v>
      </c>
      <c r="T96" s="959">
        <v>15000000</v>
      </c>
      <c r="U96" s="960">
        <v>88</v>
      </c>
      <c r="V96" s="1986" t="s">
        <v>227</v>
      </c>
      <c r="W96" s="2325">
        <v>1471</v>
      </c>
      <c r="X96" s="2190">
        <v>1412</v>
      </c>
      <c r="Y96" s="2190">
        <v>0</v>
      </c>
      <c r="Z96" s="2190">
        <v>0</v>
      </c>
      <c r="AA96" s="2190">
        <v>0</v>
      </c>
      <c r="AB96" s="2190">
        <v>0</v>
      </c>
      <c r="AC96" s="2190">
        <v>2883</v>
      </c>
      <c r="AD96" s="2190">
        <v>0</v>
      </c>
      <c r="AE96" s="2190">
        <v>0</v>
      </c>
      <c r="AF96" s="2190">
        <v>0</v>
      </c>
      <c r="AG96" s="2190">
        <v>0</v>
      </c>
      <c r="AH96" s="2190">
        <v>0</v>
      </c>
      <c r="AI96" s="2190">
        <v>0</v>
      </c>
      <c r="AJ96" s="2190">
        <v>0</v>
      </c>
      <c r="AK96" s="2190">
        <v>0</v>
      </c>
      <c r="AL96" s="2190">
        <v>500</v>
      </c>
      <c r="AM96" s="3453">
        <v>44033</v>
      </c>
      <c r="AN96" s="3453">
        <v>44195</v>
      </c>
      <c r="AO96" s="2180" t="s">
        <v>652</v>
      </c>
    </row>
    <row r="97" spans="1:41" ht="62.25" customHeight="1" x14ac:dyDescent="0.25">
      <c r="A97" s="114"/>
      <c r="B97" s="4"/>
      <c r="C97" s="4"/>
      <c r="D97" s="845"/>
      <c r="E97" s="4"/>
      <c r="F97" s="115"/>
      <c r="G97" s="3466"/>
      <c r="H97" s="2597"/>
      <c r="I97" s="2247"/>
      <c r="J97" s="2267"/>
      <c r="K97" s="2307"/>
      <c r="L97" s="2212"/>
      <c r="M97" s="2206"/>
      <c r="N97" s="2495"/>
      <c r="O97" s="2669"/>
      <c r="P97" s="3448"/>
      <c r="Q97" s="2632"/>
      <c r="R97" s="2635"/>
      <c r="S97" s="775" t="s">
        <v>807</v>
      </c>
      <c r="T97" s="959">
        <v>15000000</v>
      </c>
      <c r="U97" s="960">
        <v>88</v>
      </c>
      <c r="V97" s="1986" t="s">
        <v>227</v>
      </c>
      <c r="W97" s="2326"/>
      <c r="X97" s="2191"/>
      <c r="Y97" s="2191"/>
      <c r="Z97" s="2191"/>
      <c r="AA97" s="2191"/>
      <c r="AB97" s="2191"/>
      <c r="AC97" s="2191"/>
      <c r="AD97" s="2191"/>
      <c r="AE97" s="2191"/>
      <c r="AF97" s="2191"/>
      <c r="AG97" s="2191"/>
      <c r="AH97" s="2191"/>
      <c r="AI97" s="2191"/>
      <c r="AJ97" s="2191"/>
      <c r="AK97" s="2191"/>
      <c r="AL97" s="2191"/>
      <c r="AM97" s="3453"/>
      <c r="AN97" s="3453"/>
      <c r="AO97" s="2180"/>
    </row>
    <row r="98" spans="1:41" ht="62.25" customHeight="1" x14ac:dyDescent="0.25">
      <c r="A98" s="114"/>
      <c r="B98" s="4"/>
      <c r="C98" s="4"/>
      <c r="D98" s="845"/>
      <c r="E98" s="4"/>
      <c r="F98" s="115"/>
      <c r="G98" s="3484" t="s">
        <v>567</v>
      </c>
      <c r="H98" s="2597">
        <v>37.6</v>
      </c>
      <c r="I98" s="2247" t="s">
        <v>808</v>
      </c>
      <c r="J98" s="2267" t="s">
        <v>809</v>
      </c>
      <c r="K98" s="2352">
        <v>2</v>
      </c>
      <c r="L98" s="2212"/>
      <c r="M98" s="2206"/>
      <c r="N98" s="2495"/>
      <c r="O98" s="2669">
        <v>0.62264150943396224</v>
      </c>
      <c r="P98" s="3448"/>
      <c r="Q98" s="2632"/>
      <c r="R98" s="2635"/>
      <c r="S98" s="775" t="s">
        <v>810</v>
      </c>
      <c r="T98" s="959">
        <v>24750000</v>
      </c>
      <c r="U98" s="934">
        <v>20</v>
      </c>
      <c r="V98" s="1986" t="s">
        <v>70</v>
      </c>
      <c r="W98" s="2326"/>
      <c r="X98" s="2191"/>
      <c r="Y98" s="2191"/>
      <c r="Z98" s="2191"/>
      <c r="AA98" s="2191"/>
      <c r="AB98" s="2191"/>
      <c r="AC98" s="2191"/>
      <c r="AD98" s="2191"/>
      <c r="AE98" s="2191"/>
      <c r="AF98" s="2191"/>
      <c r="AG98" s="2191"/>
      <c r="AH98" s="2191"/>
      <c r="AI98" s="2191"/>
      <c r="AJ98" s="2191"/>
      <c r="AK98" s="2191"/>
      <c r="AL98" s="2191"/>
      <c r="AM98" s="3453"/>
      <c r="AN98" s="3453"/>
      <c r="AO98" s="2180"/>
    </row>
    <row r="99" spans="1:41" ht="62.25" customHeight="1" x14ac:dyDescent="0.25">
      <c r="A99" s="114"/>
      <c r="B99" s="4"/>
      <c r="C99" s="4"/>
      <c r="D99" s="845"/>
      <c r="E99" s="4"/>
      <c r="F99" s="115"/>
      <c r="G99" s="2586"/>
      <c r="H99" s="2597"/>
      <c r="I99" s="2247"/>
      <c r="J99" s="2267"/>
      <c r="K99" s="2306"/>
      <c r="L99" s="2212"/>
      <c r="M99" s="2206"/>
      <c r="N99" s="2495"/>
      <c r="O99" s="2669"/>
      <c r="P99" s="3448"/>
      <c r="Q99" s="2632"/>
      <c r="R99" s="2635"/>
      <c r="S99" s="775" t="s">
        <v>811</v>
      </c>
      <c r="T99" s="959">
        <v>24750000</v>
      </c>
      <c r="U99" s="934">
        <v>20</v>
      </c>
      <c r="V99" s="1986" t="s">
        <v>70</v>
      </c>
      <c r="W99" s="2326"/>
      <c r="X99" s="2191"/>
      <c r="Y99" s="2191"/>
      <c r="Z99" s="2191"/>
      <c r="AA99" s="2191"/>
      <c r="AB99" s="2191"/>
      <c r="AC99" s="2191"/>
      <c r="AD99" s="2191"/>
      <c r="AE99" s="2191"/>
      <c r="AF99" s="2191"/>
      <c r="AG99" s="2191"/>
      <c r="AH99" s="2191"/>
      <c r="AI99" s="2191"/>
      <c r="AJ99" s="2191"/>
      <c r="AK99" s="2191"/>
      <c r="AL99" s="2191"/>
      <c r="AM99" s="3453"/>
      <c r="AN99" s="3453"/>
      <c r="AO99" s="2180"/>
    </row>
    <row r="100" spans="1:41" ht="62.25" customHeight="1" x14ac:dyDescent="0.25">
      <c r="A100" s="114"/>
      <c r="B100" s="4"/>
      <c r="C100" s="4"/>
      <c r="D100" s="845"/>
      <c r="E100" s="4"/>
      <c r="F100" s="115"/>
      <c r="G100" s="3466"/>
      <c r="H100" s="2937"/>
      <c r="I100" s="2321"/>
      <c r="J100" s="2430"/>
      <c r="K100" s="2306"/>
      <c r="L100" s="2209"/>
      <c r="M100" s="2319"/>
      <c r="N100" s="2493"/>
      <c r="O100" s="3485"/>
      <c r="P100" s="3483"/>
      <c r="Q100" s="2630"/>
      <c r="R100" s="2633"/>
      <c r="S100" s="767" t="s">
        <v>784</v>
      </c>
      <c r="T100" s="963"/>
      <c r="U100" s="934">
        <v>20</v>
      </c>
      <c r="V100" s="1986" t="s">
        <v>70</v>
      </c>
      <c r="W100" s="3269"/>
      <c r="X100" s="2191"/>
      <c r="Y100" s="2191"/>
      <c r="Z100" s="2191"/>
      <c r="AA100" s="2191"/>
      <c r="AB100" s="2191"/>
      <c r="AC100" s="2191"/>
      <c r="AD100" s="2191"/>
      <c r="AE100" s="2191"/>
      <c r="AF100" s="2191"/>
      <c r="AG100" s="2191"/>
      <c r="AH100" s="2191"/>
      <c r="AI100" s="2191"/>
      <c r="AJ100" s="2191"/>
      <c r="AK100" s="2191"/>
      <c r="AL100" s="2191"/>
      <c r="AM100" s="2190"/>
      <c r="AN100" s="2190"/>
      <c r="AO100" s="2190"/>
    </row>
    <row r="101" spans="1:41" ht="75" customHeight="1" x14ac:dyDescent="0.25">
      <c r="A101" s="114"/>
      <c r="B101" s="4"/>
      <c r="C101" s="4"/>
      <c r="D101" s="2859"/>
      <c r="E101" s="3419"/>
      <c r="F101" s="2861"/>
      <c r="G101" s="3484" t="s">
        <v>567</v>
      </c>
      <c r="H101" s="2597">
        <v>37.700000000000003</v>
      </c>
      <c r="I101" s="2247" t="s">
        <v>812</v>
      </c>
      <c r="J101" s="2267" t="s">
        <v>813</v>
      </c>
      <c r="K101" s="2323">
        <v>1</v>
      </c>
      <c r="L101" s="2212" t="s">
        <v>814</v>
      </c>
      <c r="M101" s="2206" t="s">
        <v>815</v>
      </c>
      <c r="N101" s="2247" t="s">
        <v>816</v>
      </c>
      <c r="O101" s="2669">
        <v>1</v>
      </c>
      <c r="P101" s="3448">
        <v>30000000</v>
      </c>
      <c r="Q101" s="2247" t="s">
        <v>817</v>
      </c>
      <c r="R101" s="2247" t="s">
        <v>818</v>
      </c>
      <c r="S101" s="775" t="s">
        <v>819</v>
      </c>
      <c r="T101" s="959">
        <v>12500000</v>
      </c>
      <c r="U101" s="960">
        <v>88</v>
      </c>
      <c r="V101" s="1986" t="s">
        <v>227</v>
      </c>
      <c r="W101" s="2206">
        <v>3200</v>
      </c>
      <c r="X101" s="2206">
        <v>2800</v>
      </c>
      <c r="Y101" s="2206">
        <v>0</v>
      </c>
      <c r="Z101" s="2206">
        <v>0</v>
      </c>
      <c r="AA101" s="2206">
        <v>0</v>
      </c>
      <c r="AB101" s="2206">
        <v>0</v>
      </c>
      <c r="AC101" s="2206">
        <v>0</v>
      </c>
      <c r="AD101" s="2206">
        <v>6000</v>
      </c>
      <c r="AE101" s="2206">
        <v>0</v>
      </c>
      <c r="AF101" s="2206">
        <v>0</v>
      </c>
      <c r="AG101" s="2206">
        <v>0</v>
      </c>
      <c r="AH101" s="2206">
        <v>0</v>
      </c>
      <c r="AI101" s="2206">
        <v>0</v>
      </c>
      <c r="AJ101" s="2206">
        <v>0</v>
      </c>
      <c r="AK101" s="2206">
        <v>0</v>
      </c>
      <c r="AL101" s="2206">
        <v>60000</v>
      </c>
      <c r="AM101" s="3400">
        <v>44033</v>
      </c>
      <c r="AN101" s="3400">
        <v>44195</v>
      </c>
      <c r="AO101" s="2206" t="s">
        <v>652</v>
      </c>
    </row>
    <row r="102" spans="1:41" ht="75" customHeight="1" x14ac:dyDescent="0.25">
      <c r="A102" s="114"/>
      <c r="B102" s="4"/>
      <c r="C102" s="4"/>
      <c r="D102" s="2859"/>
      <c r="E102" s="3419"/>
      <c r="F102" s="2861"/>
      <c r="G102" s="2586"/>
      <c r="H102" s="2597"/>
      <c r="I102" s="2247"/>
      <c r="J102" s="2267"/>
      <c r="K102" s="2323"/>
      <c r="L102" s="2212"/>
      <c r="M102" s="2206"/>
      <c r="N102" s="2247"/>
      <c r="O102" s="2669"/>
      <c r="P102" s="3448"/>
      <c r="Q102" s="2247"/>
      <c r="R102" s="2247"/>
      <c r="S102" s="775" t="s">
        <v>820</v>
      </c>
      <c r="T102" s="959">
        <v>6250000</v>
      </c>
      <c r="U102" s="960">
        <v>88</v>
      </c>
      <c r="V102" s="1986" t="s">
        <v>227</v>
      </c>
      <c r="W102" s="2206"/>
      <c r="X102" s="2206"/>
      <c r="Y102" s="2206"/>
      <c r="Z102" s="2206"/>
      <c r="AA102" s="2206"/>
      <c r="AB102" s="2206"/>
      <c r="AC102" s="2206"/>
      <c r="AD102" s="2206"/>
      <c r="AE102" s="2206"/>
      <c r="AF102" s="2206"/>
      <c r="AG102" s="2206"/>
      <c r="AH102" s="2206"/>
      <c r="AI102" s="2206"/>
      <c r="AJ102" s="2206"/>
      <c r="AK102" s="2206"/>
      <c r="AL102" s="2206"/>
      <c r="AM102" s="3400"/>
      <c r="AN102" s="3400"/>
      <c r="AO102" s="2206"/>
    </row>
    <row r="103" spans="1:41" ht="75" customHeight="1" x14ac:dyDescent="0.25">
      <c r="A103" s="114"/>
      <c r="B103" s="4"/>
      <c r="C103" s="4"/>
      <c r="D103" s="2859"/>
      <c r="E103" s="3419"/>
      <c r="F103" s="2861"/>
      <c r="G103" s="2586"/>
      <c r="H103" s="2597"/>
      <c r="I103" s="2247"/>
      <c r="J103" s="2267"/>
      <c r="K103" s="2323"/>
      <c r="L103" s="2212"/>
      <c r="M103" s="2206"/>
      <c r="N103" s="2247"/>
      <c r="O103" s="2669"/>
      <c r="P103" s="3448"/>
      <c r="Q103" s="2247"/>
      <c r="R103" s="2247"/>
      <c r="S103" s="775" t="s">
        <v>821</v>
      </c>
      <c r="T103" s="959">
        <v>6250000</v>
      </c>
      <c r="U103" s="960">
        <v>88</v>
      </c>
      <c r="V103" s="1986" t="s">
        <v>227</v>
      </c>
      <c r="W103" s="2206"/>
      <c r="X103" s="2206"/>
      <c r="Y103" s="2206"/>
      <c r="Z103" s="2206"/>
      <c r="AA103" s="2206"/>
      <c r="AB103" s="2206"/>
      <c r="AC103" s="2206"/>
      <c r="AD103" s="2206"/>
      <c r="AE103" s="2206"/>
      <c r="AF103" s="2206"/>
      <c r="AG103" s="2206"/>
      <c r="AH103" s="2206"/>
      <c r="AI103" s="2206"/>
      <c r="AJ103" s="2206"/>
      <c r="AK103" s="2206"/>
      <c r="AL103" s="2206"/>
      <c r="AM103" s="3400"/>
      <c r="AN103" s="3400"/>
      <c r="AO103" s="2206"/>
    </row>
    <row r="104" spans="1:41" ht="41.25" customHeight="1" x14ac:dyDescent="0.25">
      <c r="A104" s="114"/>
      <c r="B104" s="4"/>
      <c r="C104" s="4"/>
      <c r="D104" s="2859"/>
      <c r="E104" s="3419"/>
      <c r="F104" s="2861"/>
      <c r="G104" s="2586"/>
      <c r="H104" s="2597"/>
      <c r="I104" s="2247"/>
      <c r="J104" s="2267"/>
      <c r="K104" s="2323"/>
      <c r="L104" s="2212"/>
      <c r="M104" s="2206"/>
      <c r="N104" s="2247"/>
      <c r="O104" s="2669"/>
      <c r="P104" s="3448"/>
      <c r="Q104" s="2247"/>
      <c r="R104" s="2247"/>
      <c r="S104" s="775" t="s">
        <v>822</v>
      </c>
      <c r="T104" s="959">
        <v>5000000</v>
      </c>
      <c r="U104" s="960">
        <v>88</v>
      </c>
      <c r="V104" s="1986" t="s">
        <v>227</v>
      </c>
      <c r="W104" s="2206"/>
      <c r="X104" s="2206"/>
      <c r="Y104" s="2206"/>
      <c r="Z104" s="2206"/>
      <c r="AA104" s="2206"/>
      <c r="AB104" s="2206"/>
      <c r="AC104" s="2206"/>
      <c r="AD104" s="2206"/>
      <c r="AE104" s="2206"/>
      <c r="AF104" s="2206"/>
      <c r="AG104" s="2206"/>
      <c r="AH104" s="2206"/>
      <c r="AI104" s="2206"/>
      <c r="AJ104" s="2206"/>
      <c r="AK104" s="2206"/>
      <c r="AL104" s="2206"/>
      <c r="AM104" s="3400"/>
      <c r="AN104" s="3400"/>
      <c r="AO104" s="2206"/>
    </row>
    <row r="105" spans="1:41" ht="54.75" customHeight="1" x14ac:dyDescent="0.25">
      <c r="A105" s="114"/>
      <c r="B105" s="4"/>
      <c r="C105" s="4"/>
      <c r="D105" s="3437"/>
      <c r="E105" s="3438"/>
      <c r="F105" s="3439"/>
      <c r="G105" s="3466"/>
      <c r="H105" s="2597"/>
      <c r="I105" s="2247"/>
      <c r="J105" s="2267"/>
      <c r="K105" s="2323"/>
      <c r="L105" s="2212"/>
      <c r="M105" s="2206"/>
      <c r="N105" s="2247"/>
      <c r="O105" s="2669"/>
      <c r="P105" s="3448"/>
      <c r="Q105" s="2247"/>
      <c r="R105" s="2247"/>
      <c r="S105" s="775" t="s">
        <v>823</v>
      </c>
      <c r="T105" s="959">
        <v>0</v>
      </c>
      <c r="U105" s="960">
        <v>88</v>
      </c>
      <c r="V105" s="1986" t="s">
        <v>227</v>
      </c>
      <c r="W105" s="2206"/>
      <c r="X105" s="2206"/>
      <c r="Y105" s="2206"/>
      <c r="Z105" s="2206"/>
      <c r="AA105" s="2206"/>
      <c r="AB105" s="2206"/>
      <c r="AC105" s="2206"/>
      <c r="AD105" s="2206"/>
      <c r="AE105" s="2206"/>
      <c r="AF105" s="2206"/>
      <c r="AG105" s="2206"/>
      <c r="AH105" s="2206"/>
      <c r="AI105" s="2206"/>
      <c r="AJ105" s="2206"/>
      <c r="AK105" s="2206"/>
      <c r="AL105" s="2206"/>
      <c r="AM105" s="3400"/>
      <c r="AN105" s="3400"/>
      <c r="AO105" s="2206"/>
    </row>
    <row r="106" spans="1:41" ht="20.25" customHeight="1" thickBot="1" x14ac:dyDescent="0.3">
      <c r="A106" s="114"/>
      <c r="B106" s="4"/>
      <c r="C106" s="4"/>
      <c r="D106" s="799">
        <v>38</v>
      </c>
      <c r="E106" s="1004" t="s">
        <v>824</v>
      </c>
      <c r="F106" s="1005"/>
      <c r="G106" s="1006"/>
      <c r="H106" s="1007"/>
      <c r="I106" s="1008"/>
      <c r="J106" s="1008"/>
      <c r="K106" s="1031"/>
      <c r="L106" s="1007"/>
      <c r="M106" s="1032"/>
      <c r="N106" s="1008"/>
      <c r="O106" s="1010"/>
      <c r="P106" s="1011"/>
      <c r="Q106" s="1008"/>
      <c r="R106" s="1008"/>
      <c r="S106" s="1033"/>
      <c r="T106" s="1034"/>
      <c r="U106" s="1035"/>
      <c r="V106" s="1036"/>
      <c r="W106" s="1015"/>
      <c r="X106" s="1015"/>
      <c r="Y106" s="1015"/>
      <c r="Z106" s="1015"/>
      <c r="AA106" s="1015"/>
      <c r="AB106" s="1015"/>
      <c r="AC106" s="1015"/>
      <c r="AD106" s="1015"/>
      <c r="AE106" s="1015"/>
      <c r="AF106" s="1015"/>
      <c r="AG106" s="1015"/>
      <c r="AH106" s="1015"/>
      <c r="AI106" s="1015"/>
      <c r="AJ106" s="1015"/>
      <c r="AK106" s="1015"/>
      <c r="AL106" s="1015"/>
      <c r="AM106" s="1015"/>
      <c r="AN106" s="1015"/>
      <c r="AO106" s="1007"/>
    </row>
    <row r="107" spans="1:41" s="755" customFormat="1" ht="83.25" customHeight="1" x14ac:dyDescent="0.25">
      <c r="A107" s="989"/>
      <c r="B107" s="58"/>
      <c r="C107" s="58"/>
      <c r="D107" s="309"/>
      <c r="E107" s="225"/>
      <c r="F107" s="310"/>
      <c r="G107" s="3486" t="s">
        <v>825</v>
      </c>
      <c r="H107" s="2614" t="s">
        <v>826</v>
      </c>
      <c r="I107" s="2397" t="s">
        <v>827</v>
      </c>
      <c r="J107" s="2982" t="s">
        <v>828</v>
      </c>
      <c r="K107" s="2920">
        <v>20</v>
      </c>
      <c r="L107" s="2920" t="s">
        <v>792</v>
      </c>
      <c r="M107" s="2601" t="s">
        <v>793</v>
      </c>
      <c r="N107" s="2397" t="s">
        <v>794</v>
      </c>
      <c r="O107" s="2624">
        <v>0.5</v>
      </c>
      <c r="P107" s="3458">
        <v>39000000</v>
      </c>
      <c r="Q107" s="2397" t="s">
        <v>795</v>
      </c>
      <c r="R107" s="3041" t="s">
        <v>796</v>
      </c>
      <c r="S107" s="2871" t="s">
        <v>829</v>
      </c>
      <c r="T107" s="959">
        <v>10666667</v>
      </c>
      <c r="U107" s="934">
        <v>20</v>
      </c>
      <c r="V107" s="1986" t="s">
        <v>70</v>
      </c>
      <c r="W107" s="3491">
        <v>2360</v>
      </c>
      <c r="X107" s="3490">
        <v>2360</v>
      </c>
      <c r="Y107" s="3490">
        <v>1500</v>
      </c>
      <c r="Z107" s="3490">
        <v>480</v>
      </c>
      <c r="AA107" s="3490">
        <v>1200</v>
      </c>
      <c r="AB107" s="3490">
        <v>1500</v>
      </c>
      <c r="AC107" s="3490">
        <v>20</v>
      </c>
      <c r="AD107" s="3490">
        <v>20</v>
      </c>
      <c r="AE107" s="3490">
        <v>0</v>
      </c>
      <c r="AF107" s="3490">
        <v>0</v>
      </c>
      <c r="AG107" s="3490">
        <v>0</v>
      </c>
      <c r="AH107" s="3490">
        <v>0</v>
      </c>
      <c r="AI107" s="3490">
        <v>1000</v>
      </c>
      <c r="AJ107" s="3490">
        <v>0</v>
      </c>
      <c r="AK107" s="3490">
        <v>0</v>
      </c>
      <c r="AL107" s="3490">
        <v>4720</v>
      </c>
      <c r="AM107" s="3494">
        <v>44033</v>
      </c>
      <c r="AN107" s="3494">
        <v>44195</v>
      </c>
      <c r="AO107" s="2601" t="s">
        <v>652</v>
      </c>
    </row>
    <row r="108" spans="1:41" s="755" customFormat="1" ht="63.75" customHeight="1" x14ac:dyDescent="0.25">
      <c r="A108" s="989"/>
      <c r="B108" s="58"/>
      <c r="C108" s="58"/>
      <c r="D108" s="314"/>
      <c r="E108" s="148"/>
      <c r="F108" s="315"/>
      <c r="G108" s="3487"/>
      <c r="H108" s="2615"/>
      <c r="I108" s="2398"/>
      <c r="J108" s="2879"/>
      <c r="K108" s="2983"/>
      <c r="L108" s="2921"/>
      <c r="M108" s="2602"/>
      <c r="N108" s="2398"/>
      <c r="O108" s="2625"/>
      <c r="P108" s="3414"/>
      <c r="Q108" s="2398"/>
      <c r="R108" s="3042"/>
      <c r="S108" s="3253"/>
      <c r="T108" s="959">
        <v>386725</v>
      </c>
      <c r="U108" s="1037">
        <v>88</v>
      </c>
      <c r="V108" s="1986" t="s">
        <v>227</v>
      </c>
      <c r="W108" s="3492"/>
      <c r="X108" s="3474"/>
      <c r="Y108" s="3474"/>
      <c r="Z108" s="3474"/>
      <c r="AA108" s="3474"/>
      <c r="AB108" s="3474"/>
      <c r="AC108" s="3474"/>
      <c r="AD108" s="3474"/>
      <c r="AE108" s="3474"/>
      <c r="AF108" s="3474"/>
      <c r="AG108" s="3474"/>
      <c r="AH108" s="3474"/>
      <c r="AI108" s="3474"/>
      <c r="AJ108" s="3474"/>
      <c r="AK108" s="3474"/>
      <c r="AL108" s="3474"/>
      <c r="AM108" s="3495"/>
      <c r="AN108" s="3495"/>
      <c r="AO108" s="2602"/>
    </row>
    <row r="109" spans="1:41" s="755" customFormat="1" ht="34.5" customHeight="1" x14ac:dyDescent="0.25">
      <c r="A109" s="989"/>
      <c r="B109" s="58"/>
      <c r="C109" s="58"/>
      <c r="D109" s="314"/>
      <c r="E109" s="148"/>
      <c r="F109" s="315"/>
      <c r="G109" s="3487"/>
      <c r="H109" s="2615"/>
      <c r="I109" s="2398"/>
      <c r="J109" s="2982" t="s">
        <v>830</v>
      </c>
      <c r="K109" s="2920">
        <v>12</v>
      </c>
      <c r="L109" s="2921"/>
      <c r="M109" s="2602"/>
      <c r="N109" s="2398"/>
      <c r="O109" s="2625"/>
      <c r="P109" s="3414"/>
      <c r="Q109" s="2398"/>
      <c r="R109" s="3042"/>
      <c r="S109" s="2871" t="s">
        <v>831</v>
      </c>
      <c r="T109" s="959">
        <v>15613275</v>
      </c>
      <c r="U109" s="934">
        <v>20</v>
      </c>
      <c r="V109" s="1986" t="s">
        <v>70</v>
      </c>
      <c r="W109" s="3492"/>
      <c r="X109" s="3474"/>
      <c r="Y109" s="3474"/>
      <c r="Z109" s="3474"/>
      <c r="AA109" s="3474"/>
      <c r="AB109" s="3474"/>
      <c r="AC109" s="3474"/>
      <c r="AD109" s="3474"/>
      <c r="AE109" s="3474"/>
      <c r="AF109" s="3474"/>
      <c r="AG109" s="3474"/>
      <c r="AH109" s="3474"/>
      <c r="AI109" s="3474"/>
      <c r="AJ109" s="3474"/>
      <c r="AK109" s="3474"/>
      <c r="AL109" s="3474"/>
      <c r="AM109" s="3495"/>
      <c r="AN109" s="3495"/>
      <c r="AO109" s="2602"/>
    </row>
    <row r="110" spans="1:41" s="755" customFormat="1" ht="35.25" customHeight="1" x14ac:dyDescent="0.25">
      <c r="A110" s="989"/>
      <c r="B110" s="58"/>
      <c r="C110" s="58"/>
      <c r="D110" s="314"/>
      <c r="E110" s="58"/>
      <c r="F110" s="315"/>
      <c r="G110" s="3487"/>
      <c r="H110" s="2615"/>
      <c r="I110" s="2398"/>
      <c r="J110" s="2878"/>
      <c r="K110" s="2921"/>
      <c r="L110" s="2921"/>
      <c r="M110" s="2602"/>
      <c r="N110" s="2398"/>
      <c r="O110" s="2625"/>
      <c r="P110" s="3414"/>
      <c r="Q110" s="2398"/>
      <c r="R110" s="3042"/>
      <c r="S110" s="3253"/>
      <c r="T110" s="959">
        <v>4333333</v>
      </c>
      <c r="U110" s="1037">
        <v>88</v>
      </c>
      <c r="V110" s="1986" t="s">
        <v>227</v>
      </c>
      <c r="W110" s="3492"/>
      <c r="X110" s="3474"/>
      <c r="Y110" s="3474"/>
      <c r="Z110" s="3474"/>
      <c r="AA110" s="3474"/>
      <c r="AB110" s="3474"/>
      <c r="AC110" s="3474"/>
      <c r="AD110" s="3474"/>
      <c r="AE110" s="3474"/>
      <c r="AF110" s="3474"/>
      <c r="AG110" s="3474"/>
      <c r="AH110" s="3474"/>
      <c r="AI110" s="3474"/>
      <c r="AJ110" s="3474"/>
      <c r="AK110" s="3474"/>
      <c r="AL110" s="3474"/>
      <c r="AM110" s="3495"/>
      <c r="AN110" s="3495"/>
      <c r="AO110" s="2602"/>
    </row>
    <row r="111" spans="1:41" s="755" customFormat="1" ht="35.25" customHeight="1" x14ac:dyDescent="0.25">
      <c r="A111" s="989"/>
      <c r="B111" s="58"/>
      <c r="C111" s="58"/>
      <c r="D111" s="314"/>
      <c r="E111" s="58"/>
      <c r="F111" s="315"/>
      <c r="G111" s="3487"/>
      <c r="H111" s="2615"/>
      <c r="I111" s="2398"/>
      <c r="J111" s="2878"/>
      <c r="K111" s="2921"/>
      <c r="L111" s="2921"/>
      <c r="M111" s="2602"/>
      <c r="N111" s="2398"/>
      <c r="O111" s="2625"/>
      <c r="P111" s="3414"/>
      <c r="Q111" s="2398"/>
      <c r="R111" s="3042"/>
      <c r="S111" s="2871" t="s">
        <v>832</v>
      </c>
      <c r="T111" s="959">
        <v>2000000</v>
      </c>
      <c r="U111" s="934">
        <v>20</v>
      </c>
      <c r="V111" s="1986" t="s">
        <v>70</v>
      </c>
      <c r="W111" s="3492"/>
      <c r="X111" s="3474"/>
      <c r="Y111" s="3474"/>
      <c r="Z111" s="3474"/>
      <c r="AA111" s="3474"/>
      <c r="AB111" s="3474"/>
      <c r="AC111" s="3474"/>
      <c r="AD111" s="3474"/>
      <c r="AE111" s="3474"/>
      <c r="AF111" s="3474"/>
      <c r="AG111" s="3474"/>
      <c r="AH111" s="3474"/>
      <c r="AI111" s="3474"/>
      <c r="AJ111" s="3474"/>
      <c r="AK111" s="3474"/>
      <c r="AL111" s="3474"/>
      <c r="AM111" s="3495"/>
      <c r="AN111" s="3495"/>
      <c r="AO111" s="2602"/>
    </row>
    <row r="112" spans="1:41" s="755" customFormat="1" ht="49.5" customHeight="1" x14ac:dyDescent="0.25">
      <c r="A112" s="989"/>
      <c r="B112" s="58"/>
      <c r="C112" s="58"/>
      <c r="D112" s="314"/>
      <c r="E112" s="58"/>
      <c r="F112" s="315"/>
      <c r="G112" s="3487"/>
      <c r="H112" s="2615"/>
      <c r="I112" s="2398"/>
      <c r="J112" s="2878"/>
      <c r="K112" s="2921"/>
      <c r="L112" s="2921"/>
      <c r="M112" s="2602"/>
      <c r="N112" s="2398"/>
      <c r="O112" s="2625"/>
      <c r="P112" s="3414"/>
      <c r="Q112" s="2398"/>
      <c r="R112" s="3042"/>
      <c r="S112" s="3253"/>
      <c r="T112" s="959">
        <v>3000000</v>
      </c>
      <c r="U112" s="1037">
        <v>88</v>
      </c>
      <c r="V112" s="1986" t="s">
        <v>227</v>
      </c>
      <c r="W112" s="3492"/>
      <c r="X112" s="3474"/>
      <c r="Y112" s="3474"/>
      <c r="Z112" s="3474"/>
      <c r="AA112" s="3474"/>
      <c r="AB112" s="3474"/>
      <c r="AC112" s="3474"/>
      <c r="AD112" s="3474"/>
      <c r="AE112" s="3474"/>
      <c r="AF112" s="3474"/>
      <c r="AG112" s="3474"/>
      <c r="AH112" s="3474"/>
      <c r="AI112" s="3474"/>
      <c r="AJ112" s="3474"/>
      <c r="AK112" s="3474"/>
      <c r="AL112" s="3474"/>
      <c r="AM112" s="3495"/>
      <c r="AN112" s="3495"/>
      <c r="AO112" s="2602"/>
    </row>
    <row r="113" spans="1:41" s="755" customFormat="1" ht="39.75" customHeight="1" x14ac:dyDescent="0.25">
      <c r="A113" s="989"/>
      <c r="B113" s="58"/>
      <c r="C113" s="58"/>
      <c r="D113" s="314"/>
      <c r="E113" s="58"/>
      <c r="F113" s="315"/>
      <c r="G113" s="3487"/>
      <c r="H113" s="2615"/>
      <c r="I113" s="2398"/>
      <c r="J113" s="2878"/>
      <c r="K113" s="2921"/>
      <c r="L113" s="2921"/>
      <c r="M113" s="2602"/>
      <c r="N113" s="2398"/>
      <c r="O113" s="2625"/>
      <c r="P113" s="3414"/>
      <c r="Q113" s="2398"/>
      <c r="R113" s="3042"/>
      <c r="S113" s="2871" t="s">
        <v>833</v>
      </c>
      <c r="T113" s="959">
        <v>2000000</v>
      </c>
      <c r="U113" s="934">
        <v>20</v>
      </c>
      <c r="V113" s="1986" t="s">
        <v>70</v>
      </c>
      <c r="W113" s="3492"/>
      <c r="X113" s="3474"/>
      <c r="Y113" s="3474"/>
      <c r="Z113" s="3474"/>
      <c r="AA113" s="3474"/>
      <c r="AB113" s="3474"/>
      <c r="AC113" s="3474"/>
      <c r="AD113" s="3474"/>
      <c r="AE113" s="3474"/>
      <c r="AF113" s="3474"/>
      <c r="AG113" s="3474"/>
      <c r="AH113" s="3474"/>
      <c r="AI113" s="3474"/>
      <c r="AJ113" s="3474"/>
      <c r="AK113" s="3474"/>
      <c r="AL113" s="3474"/>
      <c r="AM113" s="3495"/>
      <c r="AN113" s="3495"/>
      <c r="AO113" s="2602"/>
    </row>
    <row r="114" spans="1:41" s="755" customFormat="1" ht="45.75" customHeight="1" x14ac:dyDescent="0.25">
      <c r="A114" s="989"/>
      <c r="B114" s="58"/>
      <c r="C114" s="58"/>
      <c r="D114" s="314"/>
      <c r="E114" s="58"/>
      <c r="F114" s="315"/>
      <c r="G114" s="3488"/>
      <c r="H114" s="3489"/>
      <c r="I114" s="2398"/>
      <c r="J114" s="2879"/>
      <c r="K114" s="3496"/>
      <c r="L114" s="2921"/>
      <c r="M114" s="2602"/>
      <c r="N114" s="2398"/>
      <c r="O114" s="3493"/>
      <c r="P114" s="3414"/>
      <c r="Q114" s="2398"/>
      <c r="R114" s="3042"/>
      <c r="S114" s="3253"/>
      <c r="T114" s="959">
        <v>1000000</v>
      </c>
      <c r="U114" s="1037">
        <v>88</v>
      </c>
      <c r="V114" s="1986" t="s">
        <v>227</v>
      </c>
      <c r="W114" s="3492"/>
      <c r="X114" s="3474"/>
      <c r="Y114" s="3474"/>
      <c r="Z114" s="3474"/>
      <c r="AA114" s="3474"/>
      <c r="AB114" s="3474"/>
      <c r="AC114" s="3474"/>
      <c r="AD114" s="3474"/>
      <c r="AE114" s="3474"/>
      <c r="AF114" s="3474"/>
      <c r="AG114" s="3474"/>
      <c r="AH114" s="3474"/>
      <c r="AI114" s="3474"/>
      <c r="AJ114" s="3474"/>
      <c r="AK114" s="3474"/>
      <c r="AL114" s="3474"/>
      <c r="AM114" s="2602"/>
      <c r="AN114" s="2602"/>
      <c r="AO114" s="2602"/>
    </row>
    <row r="115" spans="1:41" ht="105" customHeight="1" x14ac:dyDescent="0.25">
      <c r="A115" s="114"/>
      <c r="B115" s="4"/>
      <c r="C115" s="4"/>
      <c r="D115" s="845"/>
      <c r="E115" s="4"/>
      <c r="F115" s="115"/>
      <c r="G115" s="3486" t="s">
        <v>834</v>
      </c>
      <c r="H115" s="2584">
        <v>38.200000000000003</v>
      </c>
      <c r="I115" s="2247" t="s">
        <v>835</v>
      </c>
      <c r="J115" s="2442" t="s">
        <v>836</v>
      </c>
      <c r="K115" s="2323">
        <v>12</v>
      </c>
      <c r="L115" s="2323" t="s">
        <v>837</v>
      </c>
      <c r="M115" s="2206" t="s">
        <v>838</v>
      </c>
      <c r="N115" s="2247" t="s">
        <v>839</v>
      </c>
      <c r="O115" s="3497">
        <v>1</v>
      </c>
      <c r="P115" s="3498">
        <v>18000000</v>
      </c>
      <c r="Q115" s="2247" t="s">
        <v>840</v>
      </c>
      <c r="R115" s="2247" t="s">
        <v>841</v>
      </c>
      <c r="S115" s="769" t="s">
        <v>842</v>
      </c>
      <c r="T115" s="1038">
        <v>18000000</v>
      </c>
      <c r="U115" s="1039">
        <v>88</v>
      </c>
      <c r="V115" s="1986" t="s">
        <v>227</v>
      </c>
      <c r="W115" s="2206">
        <v>106</v>
      </c>
      <c r="X115" s="2206">
        <v>137</v>
      </c>
      <c r="Y115" s="2206">
        <v>0</v>
      </c>
      <c r="Z115" s="2206">
        <v>0</v>
      </c>
      <c r="AA115" s="2206">
        <v>0</v>
      </c>
      <c r="AB115" s="2206">
        <v>0</v>
      </c>
      <c r="AC115" s="2206">
        <v>0</v>
      </c>
      <c r="AD115" s="2206">
        <v>0</v>
      </c>
      <c r="AE115" s="2206">
        <v>0</v>
      </c>
      <c r="AF115" s="2206">
        <v>0</v>
      </c>
      <c r="AG115" s="2206">
        <v>0</v>
      </c>
      <c r="AH115" s="2206">
        <v>0</v>
      </c>
      <c r="AI115" s="2206">
        <v>0</v>
      </c>
      <c r="AJ115" s="2206">
        <v>0</v>
      </c>
      <c r="AK115" s="2206">
        <v>0</v>
      </c>
      <c r="AL115" s="2206">
        <v>243</v>
      </c>
      <c r="AM115" s="3400">
        <v>44033</v>
      </c>
      <c r="AN115" s="3400">
        <v>44195</v>
      </c>
      <c r="AO115" s="2206" t="s">
        <v>652</v>
      </c>
    </row>
    <row r="116" spans="1:41" ht="70.5" customHeight="1" x14ac:dyDescent="0.25">
      <c r="A116" s="114"/>
      <c r="B116" s="4"/>
      <c r="C116" s="4"/>
      <c r="D116" s="845"/>
      <c r="E116" s="4"/>
      <c r="F116" s="115"/>
      <c r="G116" s="3488"/>
      <c r="H116" s="2584"/>
      <c r="I116" s="2247"/>
      <c r="J116" s="2267"/>
      <c r="K116" s="2323"/>
      <c r="L116" s="2323"/>
      <c r="M116" s="2206"/>
      <c r="N116" s="2247"/>
      <c r="O116" s="3497"/>
      <c r="P116" s="3498"/>
      <c r="Q116" s="2247"/>
      <c r="R116" s="2247"/>
      <c r="S116" s="775" t="s">
        <v>784</v>
      </c>
      <c r="T116" s="1040">
        <v>0</v>
      </c>
      <c r="U116" s="1041">
        <v>88</v>
      </c>
      <c r="V116" s="1986" t="s">
        <v>227</v>
      </c>
      <c r="W116" s="2206"/>
      <c r="X116" s="2206"/>
      <c r="Y116" s="2206"/>
      <c r="Z116" s="2206"/>
      <c r="AA116" s="2206"/>
      <c r="AB116" s="2206"/>
      <c r="AC116" s="2206"/>
      <c r="AD116" s="2206"/>
      <c r="AE116" s="2206"/>
      <c r="AF116" s="2206"/>
      <c r="AG116" s="2206"/>
      <c r="AH116" s="2206"/>
      <c r="AI116" s="2206"/>
      <c r="AJ116" s="2206"/>
      <c r="AK116" s="2206"/>
      <c r="AL116" s="2206"/>
      <c r="AM116" s="3400"/>
      <c r="AN116" s="3400"/>
      <c r="AO116" s="2206"/>
    </row>
    <row r="117" spans="1:41" ht="48.75" customHeight="1" x14ac:dyDescent="0.25">
      <c r="A117" s="114"/>
      <c r="B117" s="4"/>
      <c r="C117" s="4"/>
      <c r="D117" s="845"/>
      <c r="E117" s="4"/>
      <c r="F117" s="115"/>
      <c r="G117" s="3499" t="s">
        <v>567</v>
      </c>
      <c r="H117" s="3501">
        <v>38.700000000000003</v>
      </c>
      <c r="I117" s="2207" t="s">
        <v>843</v>
      </c>
      <c r="J117" s="2442" t="s">
        <v>844</v>
      </c>
      <c r="K117" s="2307">
        <v>1</v>
      </c>
      <c r="L117" s="2307" t="s">
        <v>845</v>
      </c>
      <c r="M117" s="2203" t="s">
        <v>846</v>
      </c>
      <c r="N117" s="3503" t="s">
        <v>847</v>
      </c>
      <c r="O117" s="3505">
        <v>1</v>
      </c>
      <c r="P117" s="3512">
        <v>83980000</v>
      </c>
      <c r="Q117" s="2286" t="s">
        <v>848</v>
      </c>
      <c r="R117" s="2286" t="s">
        <v>849</v>
      </c>
      <c r="S117" s="2342" t="s">
        <v>850</v>
      </c>
      <c r="T117" s="1042">
        <v>4500000</v>
      </c>
      <c r="U117" s="1002">
        <v>88</v>
      </c>
      <c r="V117" s="1986" t="s">
        <v>227</v>
      </c>
      <c r="W117" s="2326">
        <v>1323</v>
      </c>
      <c r="X117" s="2191">
        <v>1377</v>
      </c>
      <c r="Y117" s="2191">
        <v>200</v>
      </c>
      <c r="Z117" s="2191">
        <v>1200</v>
      </c>
      <c r="AA117" s="2191">
        <v>800</v>
      </c>
      <c r="AB117" s="2191">
        <v>300</v>
      </c>
      <c r="AC117" s="2191">
        <v>0</v>
      </c>
      <c r="AD117" s="2191">
        <v>0</v>
      </c>
      <c r="AE117" s="2191">
        <v>0</v>
      </c>
      <c r="AF117" s="2191">
        <v>0</v>
      </c>
      <c r="AG117" s="2191">
        <v>0</v>
      </c>
      <c r="AH117" s="2191">
        <v>0</v>
      </c>
      <c r="AI117" s="2191">
        <v>0</v>
      </c>
      <c r="AJ117" s="2191">
        <v>10</v>
      </c>
      <c r="AK117" s="2191">
        <v>200</v>
      </c>
      <c r="AL117" s="2191">
        <v>2700</v>
      </c>
      <c r="AM117" s="3389">
        <v>43832</v>
      </c>
      <c r="AN117" s="3389">
        <v>44195</v>
      </c>
      <c r="AO117" s="2191" t="s">
        <v>652</v>
      </c>
    </row>
    <row r="118" spans="1:41" ht="44.25" customHeight="1" x14ac:dyDescent="0.25">
      <c r="A118" s="114"/>
      <c r="B118" s="4"/>
      <c r="C118" s="4"/>
      <c r="D118" s="845"/>
      <c r="E118" s="4"/>
      <c r="F118" s="115"/>
      <c r="G118" s="3500"/>
      <c r="H118" s="3502"/>
      <c r="I118" s="2208"/>
      <c r="J118" s="2267"/>
      <c r="K118" s="2323"/>
      <c r="L118" s="2323"/>
      <c r="M118" s="2204"/>
      <c r="N118" s="3503"/>
      <c r="O118" s="3505"/>
      <c r="P118" s="3512"/>
      <c r="Q118" s="2286"/>
      <c r="R118" s="2286"/>
      <c r="S118" s="2343"/>
      <c r="T118" s="974">
        <v>16200000</v>
      </c>
      <c r="U118" s="934">
        <v>20</v>
      </c>
      <c r="V118" s="1986" t="s">
        <v>70</v>
      </c>
      <c r="W118" s="2326"/>
      <c r="X118" s="2191"/>
      <c r="Y118" s="2191"/>
      <c r="Z118" s="2191"/>
      <c r="AA118" s="2191"/>
      <c r="AB118" s="2191"/>
      <c r="AC118" s="2191"/>
      <c r="AD118" s="2191"/>
      <c r="AE118" s="2191"/>
      <c r="AF118" s="2191"/>
      <c r="AG118" s="2191"/>
      <c r="AH118" s="2191"/>
      <c r="AI118" s="2191"/>
      <c r="AJ118" s="2191"/>
      <c r="AK118" s="2191"/>
      <c r="AL118" s="2191"/>
      <c r="AM118" s="3389"/>
      <c r="AN118" s="3389"/>
      <c r="AO118" s="2191"/>
    </row>
    <row r="119" spans="1:41" ht="135" customHeight="1" x14ac:dyDescent="0.25">
      <c r="A119" s="114"/>
      <c r="B119" s="4"/>
      <c r="C119" s="4"/>
      <c r="D119" s="845"/>
      <c r="E119" s="4"/>
      <c r="F119" s="115"/>
      <c r="G119" s="3500"/>
      <c r="H119" s="3502"/>
      <c r="I119" s="2208"/>
      <c r="J119" s="2267"/>
      <c r="K119" s="2323"/>
      <c r="L119" s="2323"/>
      <c r="M119" s="2204"/>
      <c r="N119" s="3503"/>
      <c r="O119" s="3505"/>
      <c r="P119" s="3512"/>
      <c r="Q119" s="2286"/>
      <c r="R119" s="2286"/>
      <c r="S119" s="763" t="s">
        <v>851</v>
      </c>
      <c r="T119" s="974">
        <v>7000000</v>
      </c>
      <c r="U119" s="975">
        <v>88</v>
      </c>
      <c r="V119" s="1986" t="s">
        <v>227</v>
      </c>
      <c r="W119" s="2326"/>
      <c r="X119" s="2191"/>
      <c r="Y119" s="2191"/>
      <c r="Z119" s="2191"/>
      <c r="AA119" s="2191"/>
      <c r="AB119" s="2191"/>
      <c r="AC119" s="2191"/>
      <c r="AD119" s="2191"/>
      <c r="AE119" s="2191"/>
      <c r="AF119" s="2191"/>
      <c r="AG119" s="2191"/>
      <c r="AH119" s="2191"/>
      <c r="AI119" s="2191"/>
      <c r="AJ119" s="2191"/>
      <c r="AK119" s="2191"/>
      <c r="AL119" s="2191"/>
      <c r="AM119" s="3389"/>
      <c r="AN119" s="3389"/>
      <c r="AO119" s="2191"/>
    </row>
    <row r="120" spans="1:41" ht="150" customHeight="1" x14ac:dyDescent="0.25">
      <c r="A120" s="114"/>
      <c r="B120" s="4"/>
      <c r="C120" s="4"/>
      <c r="D120" s="845"/>
      <c r="E120" s="4"/>
      <c r="F120" s="115"/>
      <c r="G120" s="3500"/>
      <c r="H120" s="3502"/>
      <c r="I120" s="2208"/>
      <c r="J120" s="2267"/>
      <c r="K120" s="2323"/>
      <c r="L120" s="2323"/>
      <c r="M120" s="2204"/>
      <c r="N120" s="3503"/>
      <c r="O120" s="3505"/>
      <c r="P120" s="3512"/>
      <c r="Q120" s="2286"/>
      <c r="R120" s="2286"/>
      <c r="S120" s="763" t="s">
        <v>852</v>
      </c>
      <c r="T120" s="974">
        <v>5500000</v>
      </c>
      <c r="U120" s="1002">
        <v>88</v>
      </c>
      <c r="V120" s="1986" t="s">
        <v>227</v>
      </c>
      <c r="W120" s="2191"/>
      <c r="X120" s="2191"/>
      <c r="Y120" s="2191"/>
      <c r="Z120" s="2191"/>
      <c r="AA120" s="2191"/>
      <c r="AB120" s="2191"/>
      <c r="AC120" s="2191"/>
      <c r="AD120" s="2191"/>
      <c r="AE120" s="2191"/>
      <c r="AF120" s="2191"/>
      <c r="AG120" s="2191"/>
      <c r="AH120" s="2191"/>
      <c r="AI120" s="2191"/>
      <c r="AJ120" s="2191"/>
      <c r="AK120" s="2191"/>
      <c r="AL120" s="2191"/>
      <c r="AM120" s="3389"/>
      <c r="AN120" s="3389"/>
      <c r="AO120" s="2191"/>
    </row>
    <row r="121" spans="1:41" ht="50.25" customHeight="1" x14ac:dyDescent="0.25">
      <c r="A121" s="114"/>
      <c r="B121" s="4"/>
      <c r="C121" s="4"/>
      <c r="D121" s="845"/>
      <c r="E121" s="4"/>
      <c r="F121" s="115"/>
      <c r="G121" s="3500"/>
      <c r="H121" s="3502"/>
      <c r="I121" s="2208"/>
      <c r="J121" s="2267"/>
      <c r="K121" s="2323"/>
      <c r="L121" s="2323"/>
      <c r="M121" s="2204"/>
      <c r="N121" s="3503"/>
      <c r="O121" s="3505"/>
      <c r="P121" s="3512"/>
      <c r="Q121" s="2286"/>
      <c r="R121" s="2286"/>
      <c r="S121" s="763" t="s">
        <v>822</v>
      </c>
      <c r="T121" s="974">
        <v>5000000</v>
      </c>
      <c r="U121" s="975">
        <v>88</v>
      </c>
      <c r="V121" s="1986" t="s">
        <v>227</v>
      </c>
      <c r="W121" s="2191"/>
      <c r="X121" s="2191"/>
      <c r="Y121" s="2191"/>
      <c r="Z121" s="2191"/>
      <c r="AA121" s="2191"/>
      <c r="AB121" s="2191"/>
      <c r="AC121" s="2191"/>
      <c r="AD121" s="2191"/>
      <c r="AE121" s="2191"/>
      <c r="AF121" s="2191"/>
      <c r="AG121" s="2191"/>
      <c r="AH121" s="2191"/>
      <c r="AI121" s="2191"/>
      <c r="AJ121" s="2191"/>
      <c r="AK121" s="2191"/>
      <c r="AL121" s="2191"/>
      <c r="AM121" s="3389"/>
      <c r="AN121" s="3389"/>
      <c r="AO121" s="2191"/>
    </row>
    <row r="122" spans="1:41" ht="78.75" customHeight="1" x14ac:dyDescent="0.25">
      <c r="A122" s="114"/>
      <c r="B122" s="4"/>
      <c r="C122" s="4"/>
      <c r="D122" s="845"/>
      <c r="E122" s="4"/>
      <c r="F122" s="115"/>
      <c r="G122" s="3500"/>
      <c r="H122" s="3502"/>
      <c r="I122" s="2208"/>
      <c r="J122" s="2267"/>
      <c r="K122" s="2323"/>
      <c r="L122" s="2323"/>
      <c r="M122" s="2204"/>
      <c r="N122" s="3503"/>
      <c r="O122" s="3505"/>
      <c r="P122" s="3512"/>
      <c r="Q122" s="2286"/>
      <c r="R122" s="2286"/>
      <c r="S122" s="763" t="s">
        <v>853</v>
      </c>
      <c r="T122" s="974"/>
      <c r="U122" s="975"/>
      <c r="V122" s="935"/>
      <c r="W122" s="2191"/>
      <c r="X122" s="2191"/>
      <c r="Y122" s="2191"/>
      <c r="Z122" s="2191"/>
      <c r="AA122" s="2191"/>
      <c r="AB122" s="2191"/>
      <c r="AC122" s="2191"/>
      <c r="AD122" s="2191"/>
      <c r="AE122" s="2191"/>
      <c r="AF122" s="2191"/>
      <c r="AG122" s="2191"/>
      <c r="AH122" s="2191"/>
      <c r="AI122" s="2191"/>
      <c r="AJ122" s="2191"/>
      <c r="AK122" s="2191"/>
      <c r="AL122" s="2191"/>
      <c r="AM122" s="3389"/>
      <c r="AN122" s="3389"/>
      <c r="AO122" s="2191"/>
    </row>
    <row r="123" spans="1:41" ht="41.25" customHeight="1" x14ac:dyDescent="0.25">
      <c r="A123" s="114"/>
      <c r="B123" s="4"/>
      <c r="C123" s="4"/>
      <c r="D123" s="845"/>
      <c r="E123" s="4"/>
      <c r="F123" s="115"/>
      <c r="G123" s="3500"/>
      <c r="H123" s="3502"/>
      <c r="I123" s="2208"/>
      <c r="J123" s="2267"/>
      <c r="K123" s="2323"/>
      <c r="L123" s="2323"/>
      <c r="M123" s="2204"/>
      <c r="N123" s="3503"/>
      <c r="O123" s="3505"/>
      <c r="P123" s="3512"/>
      <c r="Q123" s="2286"/>
      <c r="R123" s="2286"/>
      <c r="S123" s="3508" t="s">
        <v>854</v>
      </c>
      <c r="T123" s="974">
        <v>23000000</v>
      </c>
      <c r="U123" s="975">
        <v>88</v>
      </c>
      <c r="V123" s="1986" t="s">
        <v>227</v>
      </c>
      <c r="W123" s="2191"/>
      <c r="X123" s="2191"/>
      <c r="Y123" s="2191"/>
      <c r="Z123" s="2191"/>
      <c r="AA123" s="2191"/>
      <c r="AB123" s="2191"/>
      <c r="AC123" s="2191"/>
      <c r="AD123" s="2191"/>
      <c r="AE123" s="2191"/>
      <c r="AF123" s="2191"/>
      <c r="AG123" s="2191"/>
      <c r="AH123" s="2191"/>
      <c r="AI123" s="2191"/>
      <c r="AJ123" s="2191"/>
      <c r="AK123" s="2191"/>
      <c r="AL123" s="2191"/>
      <c r="AM123" s="3389"/>
      <c r="AN123" s="3389"/>
      <c r="AO123" s="2191"/>
    </row>
    <row r="124" spans="1:41" ht="48" customHeight="1" x14ac:dyDescent="0.25">
      <c r="A124" s="114"/>
      <c r="B124" s="4"/>
      <c r="C124" s="4"/>
      <c r="D124" s="845"/>
      <c r="E124" s="4"/>
      <c r="F124" s="115"/>
      <c r="G124" s="3500"/>
      <c r="H124" s="3502"/>
      <c r="I124" s="2208"/>
      <c r="J124" s="2267"/>
      <c r="K124" s="2323"/>
      <c r="L124" s="2323"/>
      <c r="M124" s="2204"/>
      <c r="N124" s="3503"/>
      <c r="O124" s="3505"/>
      <c r="P124" s="3512"/>
      <c r="Q124" s="2286"/>
      <c r="R124" s="2286"/>
      <c r="S124" s="2343"/>
      <c r="T124" s="974">
        <v>15500000</v>
      </c>
      <c r="U124" s="934">
        <v>20</v>
      </c>
      <c r="V124" s="1986" t="s">
        <v>70</v>
      </c>
      <c r="W124" s="2191"/>
      <c r="X124" s="2191"/>
      <c r="Y124" s="2191"/>
      <c r="Z124" s="2191"/>
      <c r="AA124" s="2191"/>
      <c r="AB124" s="2191"/>
      <c r="AC124" s="2191"/>
      <c r="AD124" s="2191"/>
      <c r="AE124" s="2191"/>
      <c r="AF124" s="2191"/>
      <c r="AG124" s="2191"/>
      <c r="AH124" s="2191"/>
      <c r="AI124" s="2191"/>
      <c r="AJ124" s="2191"/>
      <c r="AK124" s="2191"/>
      <c r="AL124" s="2191"/>
      <c r="AM124" s="3389"/>
      <c r="AN124" s="3389"/>
      <c r="AO124" s="2191"/>
    </row>
    <row r="125" spans="1:41" ht="75" customHeight="1" x14ac:dyDescent="0.25">
      <c r="A125" s="114"/>
      <c r="B125" s="4"/>
      <c r="C125" s="4"/>
      <c r="D125" s="845"/>
      <c r="E125" s="4"/>
      <c r="F125" s="115"/>
      <c r="G125" s="3500"/>
      <c r="H125" s="3502"/>
      <c r="I125" s="2208"/>
      <c r="J125" s="2267"/>
      <c r="K125" s="2323"/>
      <c r="L125" s="2323"/>
      <c r="M125" s="2204"/>
      <c r="N125" s="3504"/>
      <c r="O125" s="3506"/>
      <c r="P125" s="3513"/>
      <c r="Q125" s="2313"/>
      <c r="R125" s="2313"/>
      <c r="S125" s="763" t="s">
        <v>855</v>
      </c>
      <c r="T125" s="974">
        <v>7280000</v>
      </c>
      <c r="U125" s="934">
        <v>20</v>
      </c>
      <c r="V125" s="1986" t="s">
        <v>70</v>
      </c>
      <c r="W125" s="2257"/>
      <c r="X125" s="2257"/>
      <c r="Y125" s="2257"/>
      <c r="Z125" s="2257"/>
      <c r="AA125" s="2257"/>
      <c r="AB125" s="2257"/>
      <c r="AC125" s="2257"/>
      <c r="AD125" s="2257"/>
      <c r="AE125" s="2257"/>
      <c r="AF125" s="2257"/>
      <c r="AG125" s="2257"/>
      <c r="AH125" s="2257"/>
      <c r="AI125" s="2257"/>
      <c r="AJ125" s="2257"/>
      <c r="AK125" s="2257"/>
      <c r="AL125" s="2257"/>
      <c r="AM125" s="3507"/>
      <c r="AN125" s="3507"/>
      <c r="AO125" s="2257"/>
    </row>
    <row r="126" spans="1:41" ht="45" customHeight="1" x14ac:dyDescent="0.25">
      <c r="A126" s="114"/>
      <c r="B126" s="4"/>
      <c r="C126" s="4"/>
      <c r="D126" s="845"/>
      <c r="E126" s="4"/>
      <c r="F126" s="115"/>
      <c r="G126" s="3509" t="s">
        <v>567</v>
      </c>
      <c r="H126" s="3511">
        <v>38.799999999999997</v>
      </c>
      <c r="I126" s="2172" t="s">
        <v>856</v>
      </c>
      <c r="J126" s="2269" t="s">
        <v>857</v>
      </c>
      <c r="K126" s="2261">
        <v>1</v>
      </c>
      <c r="L126" s="2261" t="s">
        <v>858</v>
      </c>
      <c r="M126" s="3208" t="s">
        <v>859</v>
      </c>
      <c r="N126" s="2285" t="s">
        <v>860</v>
      </c>
      <c r="O126" s="3514">
        <v>1</v>
      </c>
      <c r="P126" s="3458">
        <v>79725000</v>
      </c>
      <c r="Q126" s="2285" t="s">
        <v>861</v>
      </c>
      <c r="R126" s="2285" t="s">
        <v>862</v>
      </c>
      <c r="S126" s="763" t="s">
        <v>863</v>
      </c>
      <c r="T126" s="974">
        <v>0</v>
      </c>
      <c r="U126" s="975"/>
      <c r="V126" s="935"/>
      <c r="W126" s="2190">
        <v>3000</v>
      </c>
      <c r="X126" s="2190">
        <v>0</v>
      </c>
      <c r="Y126" s="2190">
        <v>500</v>
      </c>
      <c r="Z126" s="2190">
        <v>1500</v>
      </c>
      <c r="AA126" s="2190">
        <v>800</v>
      </c>
      <c r="AB126" s="2190">
        <v>100</v>
      </c>
      <c r="AC126" s="2190">
        <v>100</v>
      </c>
      <c r="AD126" s="2190">
        <v>1</v>
      </c>
      <c r="AE126" s="2190">
        <v>0</v>
      </c>
      <c r="AF126" s="2190">
        <v>0</v>
      </c>
      <c r="AG126" s="2190">
        <v>0</v>
      </c>
      <c r="AH126" s="2190">
        <v>0</v>
      </c>
      <c r="AI126" s="2190">
        <v>0</v>
      </c>
      <c r="AJ126" s="2190">
        <v>0</v>
      </c>
      <c r="AK126" s="2190">
        <v>0</v>
      </c>
      <c r="AL126" s="2190">
        <v>3000</v>
      </c>
      <c r="AM126" s="3388">
        <v>43832</v>
      </c>
      <c r="AN126" s="3388">
        <v>44195</v>
      </c>
      <c r="AO126" s="2190" t="s">
        <v>652</v>
      </c>
    </row>
    <row r="127" spans="1:41" ht="30" x14ac:dyDescent="0.25">
      <c r="A127" s="114"/>
      <c r="B127" s="4"/>
      <c r="C127" s="4"/>
      <c r="D127" s="845"/>
      <c r="E127" s="4"/>
      <c r="F127" s="115"/>
      <c r="G127" s="3510"/>
      <c r="H127" s="3511"/>
      <c r="I127" s="2172"/>
      <c r="J127" s="2269"/>
      <c r="K127" s="2261"/>
      <c r="L127" s="2261"/>
      <c r="M127" s="2191"/>
      <c r="N127" s="2286"/>
      <c r="O127" s="3505"/>
      <c r="P127" s="3414"/>
      <c r="Q127" s="2286"/>
      <c r="R127" s="2286"/>
      <c r="S127" s="3508" t="s">
        <v>864</v>
      </c>
      <c r="T127" s="974">
        <v>14000000</v>
      </c>
      <c r="U127" s="975">
        <v>88</v>
      </c>
      <c r="V127" s="1986" t="s">
        <v>227</v>
      </c>
      <c r="W127" s="2191"/>
      <c r="X127" s="2191"/>
      <c r="Y127" s="2191"/>
      <c r="Z127" s="2191"/>
      <c r="AA127" s="2191"/>
      <c r="AB127" s="2191"/>
      <c r="AC127" s="2191"/>
      <c r="AD127" s="2191"/>
      <c r="AE127" s="2191"/>
      <c r="AF127" s="2191"/>
      <c r="AG127" s="2191"/>
      <c r="AH127" s="2191"/>
      <c r="AI127" s="2191"/>
      <c r="AJ127" s="2191"/>
      <c r="AK127" s="2191"/>
      <c r="AL127" s="2191"/>
      <c r="AM127" s="3389"/>
      <c r="AN127" s="3389"/>
      <c r="AO127" s="2191"/>
    </row>
    <row r="128" spans="1:41" ht="43.5" customHeight="1" x14ac:dyDescent="0.25">
      <c r="A128" s="114"/>
      <c r="B128" s="4"/>
      <c r="C128" s="4"/>
      <c r="D128" s="845"/>
      <c r="E128" s="4"/>
      <c r="F128" s="115"/>
      <c r="G128" s="3510"/>
      <c r="H128" s="3511"/>
      <c r="I128" s="2172"/>
      <c r="J128" s="2269"/>
      <c r="K128" s="2261"/>
      <c r="L128" s="2261"/>
      <c r="M128" s="2191"/>
      <c r="N128" s="2286"/>
      <c r="O128" s="3505"/>
      <c r="P128" s="3414"/>
      <c r="Q128" s="2286"/>
      <c r="R128" s="2286"/>
      <c r="S128" s="2343"/>
      <c r="T128" s="974">
        <v>19280000</v>
      </c>
      <c r="U128" s="934">
        <v>20</v>
      </c>
      <c r="V128" s="1986" t="s">
        <v>70</v>
      </c>
      <c r="W128" s="2191"/>
      <c r="X128" s="2191"/>
      <c r="Y128" s="2191"/>
      <c r="Z128" s="2191"/>
      <c r="AA128" s="2191"/>
      <c r="AB128" s="2191"/>
      <c r="AC128" s="2191"/>
      <c r="AD128" s="2191"/>
      <c r="AE128" s="2191"/>
      <c r="AF128" s="2191"/>
      <c r="AG128" s="2191"/>
      <c r="AH128" s="2191"/>
      <c r="AI128" s="2191"/>
      <c r="AJ128" s="2191"/>
      <c r="AK128" s="2191"/>
      <c r="AL128" s="2191"/>
      <c r="AM128" s="3389"/>
      <c r="AN128" s="3389"/>
      <c r="AO128" s="2191"/>
    </row>
    <row r="129" spans="1:41" ht="54.75" customHeight="1" x14ac:dyDescent="0.25">
      <c r="A129" s="114"/>
      <c r="B129" s="4"/>
      <c r="C129" s="4"/>
      <c r="D129" s="845"/>
      <c r="E129" s="4"/>
      <c r="F129" s="115"/>
      <c r="G129" s="3510"/>
      <c r="H129" s="3511"/>
      <c r="I129" s="2172"/>
      <c r="J129" s="2269"/>
      <c r="K129" s="2261"/>
      <c r="L129" s="2261"/>
      <c r="M129" s="2191"/>
      <c r="N129" s="2286"/>
      <c r="O129" s="3505"/>
      <c r="P129" s="3414"/>
      <c r="Q129" s="2286"/>
      <c r="R129" s="2286"/>
      <c r="S129" s="763" t="s">
        <v>660</v>
      </c>
      <c r="T129" s="974">
        <v>3000000</v>
      </c>
      <c r="U129" s="975">
        <v>88</v>
      </c>
      <c r="V129" s="1986" t="s">
        <v>227</v>
      </c>
      <c r="W129" s="2191"/>
      <c r="X129" s="2191"/>
      <c r="Y129" s="2191"/>
      <c r="Z129" s="2191"/>
      <c r="AA129" s="2191"/>
      <c r="AB129" s="2191"/>
      <c r="AC129" s="2191"/>
      <c r="AD129" s="2191"/>
      <c r="AE129" s="2191"/>
      <c r="AF129" s="2191"/>
      <c r="AG129" s="2191"/>
      <c r="AH129" s="2191"/>
      <c r="AI129" s="2191"/>
      <c r="AJ129" s="2191"/>
      <c r="AK129" s="2191"/>
      <c r="AL129" s="2191"/>
      <c r="AM129" s="3389"/>
      <c r="AN129" s="3389"/>
      <c r="AO129" s="2191"/>
    </row>
    <row r="130" spans="1:41" ht="75" x14ac:dyDescent="0.25">
      <c r="A130" s="114"/>
      <c r="B130" s="4"/>
      <c r="C130" s="4"/>
      <c r="D130" s="845"/>
      <c r="E130" s="4"/>
      <c r="F130" s="115"/>
      <c r="G130" s="3510"/>
      <c r="H130" s="3511"/>
      <c r="I130" s="2172"/>
      <c r="J130" s="2269"/>
      <c r="K130" s="2261"/>
      <c r="L130" s="2261"/>
      <c r="M130" s="2191"/>
      <c r="N130" s="2286"/>
      <c r="O130" s="3505"/>
      <c r="P130" s="3414"/>
      <c r="Q130" s="2286"/>
      <c r="R130" s="2286"/>
      <c r="S130" s="763" t="s">
        <v>865</v>
      </c>
      <c r="T130" s="979"/>
      <c r="U130" s="975"/>
      <c r="V130" s="935"/>
      <c r="W130" s="2191"/>
      <c r="X130" s="2191"/>
      <c r="Y130" s="2191"/>
      <c r="Z130" s="2191"/>
      <c r="AA130" s="2191"/>
      <c r="AB130" s="2191"/>
      <c r="AC130" s="2191"/>
      <c r="AD130" s="2191"/>
      <c r="AE130" s="2191"/>
      <c r="AF130" s="2191"/>
      <c r="AG130" s="2191"/>
      <c r="AH130" s="2191"/>
      <c r="AI130" s="2191"/>
      <c r="AJ130" s="2191"/>
      <c r="AK130" s="2191"/>
      <c r="AL130" s="2191"/>
      <c r="AM130" s="3389"/>
      <c r="AN130" s="3389"/>
      <c r="AO130" s="2191"/>
    </row>
    <row r="131" spans="1:41" ht="33" customHeight="1" x14ac:dyDescent="0.25">
      <c r="A131" s="114"/>
      <c r="B131" s="4"/>
      <c r="C131" s="4"/>
      <c r="D131" s="845"/>
      <c r="E131" s="4"/>
      <c r="F131" s="115"/>
      <c r="G131" s="3510"/>
      <c r="H131" s="3511"/>
      <c r="I131" s="2172"/>
      <c r="J131" s="2269"/>
      <c r="K131" s="2261"/>
      <c r="L131" s="2261"/>
      <c r="M131" s="2191"/>
      <c r="N131" s="2286"/>
      <c r="O131" s="3505"/>
      <c r="P131" s="3414"/>
      <c r="Q131" s="2286"/>
      <c r="R131" s="2286"/>
      <c r="S131" s="2360" t="s">
        <v>866</v>
      </c>
      <c r="T131" s="974">
        <v>1120000</v>
      </c>
      <c r="U131" s="934">
        <v>20</v>
      </c>
      <c r="V131" s="1986" t="s">
        <v>70</v>
      </c>
      <c r="W131" s="2191"/>
      <c r="X131" s="2191"/>
      <c r="Y131" s="2191"/>
      <c r="Z131" s="2191"/>
      <c r="AA131" s="2191"/>
      <c r="AB131" s="2191"/>
      <c r="AC131" s="2191"/>
      <c r="AD131" s="2191"/>
      <c r="AE131" s="2191"/>
      <c r="AF131" s="2191"/>
      <c r="AG131" s="2191"/>
      <c r="AH131" s="2191"/>
      <c r="AI131" s="2191"/>
      <c r="AJ131" s="2191"/>
      <c r="AK131" s="2191"/>
      <c r="AL131" s="2191"/>
      <c r="AM131" s="3389"/>
      <c r="AN131" s="3389"/>
      <c r="AO131" s="2191"/>
    </row>
    <row r="132" spans="1:41" ht="30" x14ac:dyDescent="0.25">
      <c r="A132" s="114"/>
      <c r="B132" s="4"/>
      <c r="C132" s="4"/>
      <c r="D132" s="845"/>
      <c r="E132" s="4"/>
      <c r="F132" s="115"/>
      <c r="G132" s="3510"/>
      <c r="H132" s="3511"/>
      <c r="I132" s="2172"/>
      <c r="J132" s="2269"/>
      <c r="K132" s="2261"/>
      <c r="L132" s="2261"/>
      <c r="M132" s="2191"/>
      <c r="N132" s="2286"/>
      <c r="O132" s="3505"/>
      <c r="P132" s="3414"/>
      <c r="Q132" s="2286"/>
      <c r="R132" s="2286"/>
      <c r="S132" s="2916"/>
      <c r="T132" s="1043">
        <v>14000000</v>
      </c>
      <c r="U132" s="938">
        <v>88</v>
      </c>
      <c r="V132" s="1986" t="s">
        <v>227</v>
      </c>
      <c r="W132" s="2191"/>
      <c r="X132" s="2191"/>
      <c r="Y132" s="2191"/>
      <c r="Z132" s="2191"/>
      <c r="AA132" s="2191"/>
      <c r="AB132" s="2191"/>
      <c r="AC132" s="2191"/>
      <c r="AD132" s="2191"/>
      <c r="AE132" s="2191"/>
      <c r="AF132" s="2191"/>
      <c r="AG132" s="2191"/>
      <c r="AH132" s="2191"/>
      <c r="AI132" s="2191"/>
      <c r="AJ132" s="2191"/>
      <c r="AK132" s="2191"/>
      <c r="AL132" s="2191"/>
      <c r="AM132" s="3389"/>
      <c r="AN132" s="3389"/>
      <c r="AO132" s="2191"/>
    </row>
    <row r="133" spans="1:41" ht="30" x14ac:dyDescent="0.25">
      <c r="A133" s="114"/>
      <c r="B133" s="4"/>
      <c r="C133" s="4"/>
      <c r="D133" s="845"/>
      <c r="E133" s="4"/>
      <c r="F133" s="115"/>
      <c r="G133" s="3510"/>
      <c r="H133" s="3511"/>
      <c r="I133" s="2172"/>
      <c r="J133" s="2269"/>
      <c r="K133" s="2261"/>
      <c r="L133" s="2261"/>
      <c r="M133" s="2191"/>
      <c r="N133" s="2286"/>
      <c r="O133" s="3505"/>
      <c r="P133" s="3414"/>
      <c r="Q133" s="2286"/>
      <c r="R133" s="2286"/>
      <c r="S133" s="2171" t="s">
        <v>867</v>
      </c>
      <c r="T133" s="1023">
        <v>14000000</v>
      </c>
      <c r="U133" s="938">
        <v>88</v>
      </c>
      <c r="V133" s="1986" t="s">
        <v>227</v>
      </c>
      <c r="W133" s="2191"/>
      <c r="X133" s="2191"/>
      <c r="Y133" s="2191"/>
      <c r="Z133" s="2191"/>
      <c r="AA133" s="2191"/>
      <c r="AB133" s="2191"/>
      <c r="AC133" s="2191"/>
      <c r="AD133" s="2191"/>
      <c r="AE133" s="2191"/>
      <c r="AF133" s="2191"/>
      <c r="AG133" s="2191"/>
      <c r="AH133" s="2191"/>
      <c r="AI133" s="2191"/>
      <c r="AJ133" s="2191"/>
      <c r="AK133" s="2191"/>
      <c r="AL133" s="2191"/>
      <c r="AM133" s="3389"/>
      <c r="AN133" s="3389"/>
      <c r="AO133" s="2191"/>
    </row>
    <row r="134" spans="1:41" ht="56.25" customHeight="1" x14ac:dyDescent="0.25">
      <c r="A134" s="114"/>
      <c r="B134" s="4"/>
      <c r="C134" s="4"/>
      <c r="D134" s="845"/>
      <c r="E134" s="4"/>
      <c r="F134" s="115"/>
      <c r="G134" s="3510"/>
      <c r="H134" s="3511"/>
      <c r="I134" s="2172"/>
      <c r="J134" s="2269"/>
      <c r="K134" s="2261"/>
      <c r="L134" s="2261"/>
      <c r="M134" s="2191"/>
      <c r="N134" s="2286"/>
      <c r="O134" s="3505"/>
      <c r="P134" s="3414"/>
      <c r="Q134" s="2286"/>
      <c r="R134" s="2286"/>
      <c r="S134" s="2916"/>
      <c r="T134" s="1023">
        <v>6800000</v>
      </c>
      <c r="U134" s="934">
        <v>20</v>
      </c>
      <c r="V134" s="1986" t="s">
        <v>70</v>
      </c>
      <c r="W134" s="2191"/>
      <c r="X134" s="2191"/>
      <c r="Y134" s="2191"/>
      <c r="Z134" s="2191"/>
      <c r="AA134" s="2191"/>
      <c r="AB134" s="2191"/>
      <c r="AC134" s="2191"/>
      <c r="AD134" s="2191"/>
      <c r="AE134" s="2191"/>
      <c r="AF134" s="2191"/>
      <c r="AG134" s="2191"/>
      <c r="AH134" s="2191"/>
      <c r="AI134" s="2191"/>
      <c r="AJ134" s="2191"/>
      <c r="AK134" s="2191"/>
      <c r="AL134" s="2191"/>
      <c r="AM134" s="3389"/>
      <c r="AN134" s="3389"/>
      <c r="AO134" s="2191"/>
    </row>
    <row r="135" spans="1:41" ht="52.5" customHeight="1" x14ac:dyDescent="0.25">
      <c r="A135" s="114"/>
      <c r="B135" s="4"/>
      <c r="C135" s="4"/>
      <c r="D135" s="845"/>
      <c r="E135" s="4"/>
      <c r="F135" s="115"/>
      <c r="G135" s="3510"/>
      <c r="H135" s="3511"/>
      <c r="I135" s="2172"/>
      <c r="J135" s="2269"/>
      <c r="K135" s="2261"/>
      <c r="L135" s="2261"/>
      <c r="M135" s="2191"/>
      <c r="N135" s="2286"/>
      <c r="O135" s="3505"/>
      <c r="P135" s="3414"/>
      <c r="Q135" s="2286"/>
      <c r="R135" s="2286"/>
      <c r="S135" s="763" t="s">
        <v>853</v>
      </c>
      <c r="T135" s="1023"/>
      <c r="U135" s="938"/>
      <c r="V135" s="947"/>
      <c r="W135" s="2191"/>
      <c r="X135" s="2191"/>
      <c r="Y135" s="2191"/>
      <c r="Z135" s="2191"/>
      <c r="AA135" s="2191"/>
      <c r="AB135" s="2191"/>
      <c r="AC135" s="2191"/>
      <c r="AD135" s="2191"/>
      <c r="AE135" s="2191"/>
      <c r="AF135" s="2191"/>
      <c r="AG135" s="2191"/>
      <c r="AH135" s="2191"/>
      <c r="AI135" s="2191"/>
      <c r="AJ135" s="2191"/>
      <c r="AK135" s="2191"/>
      <c r="AL135" s="2191"/>
      <c r="AM135" s="3389"/>
      <c r="AN135" s="3389"/>
      <c r="AO135" s="2191"/>
    </row>
    <row r="136" spans="1:41" ht="75" customHeight="1" x14ac:dyDescent="0.25">
      <c r="A136" s="114"/>
      <c r="B136" s="4"/>
      <c r="C136" s="4"/>
      <c r="D136" s="845"/>
      <c r="E136" s="4"/>
      <c r="F136" s="115"/>
      <c r="G136" s="3510"/>
      <c r="H136" s="3511"/>
      <c r="I136" s="2172"/>
      <c r="J136" s="2269"/>
      <c r="K136" s="2261"/>
      <c r="L136" s="2261"/>
      <c r="M136" s="2191"/>
      <c r="N136" s="2286"/>
      <c r="O136" s="3505"/>
      <c r="P136" s="3414"/>
      <c r="Q136" s="2286"/>
      <c r="R136" s="2286"/>
      <c r="S136" s="761" t="s">
        <v>868</v>
      </c>
      <c r="T136" s="984">
        <v>7525000</v>
      </c>
      <c r="U136" s="934">
        <v>20</v>
      </c>
      <c r="V136" s="1986" t="s">
        <v>70</v>
      </c>
      <c r="W136" s="2257"/>
      <c r="X136" s="2257"/>
      <c r="Y136" s="2257"/>
      <c r="Z136" s="2257"/>
      <c r="AA136" s="2257"/>
      <c r="AB136" s="2257"/>
      <c r="AC136" s="2257"/>
      <c r="AD136" s="2257"/>
      <c r="AE136" s="2257"/>
      <c r="AF136" s="2257"/>
      <c r="AG136" s="2257"/>
      <c r="AH136" s="2257"/>
      <c r="AI136" s="2257"/>
      <c r="AJ136" s="2257"/>
      <c r="AK136" s="2257"/>
      <c r="AL136" s="2257"/>
      <c r="AM136" s="3507"/>
      <c r="AN136" s="3507"/>
      <c r="AO136" s="2257"/>
    </row>
    <row r="137" spans="1:41" s="755" customFormat="1" ht="51" customHeight="1" x14ac:dyDescent="0.25">
      <c r="A137" s="989"/>
      <c r="B137" s="58"/>
      <c r="C137" s="58"/>
      <c r="D137" s="314"/>
      <c r="E137" s="58"/>
      <c r="F137" s="315"/>
      <c r="G137" s="3515" t="s">
        <v>567</v>
      </c>
      <c r="H137" s="3502">
        <v>38.9</v>
      </c>
      <c r="I137" s="3517" t="s">
        <v>869</v>
      </c>
      <c r="J137" s="2864" t="s">
        <v>870</v>
      </c>
      <c r="K137" s="2872">
        <v>7</v>
      </c>
      <c r="L137" s="2323" t="s">
        <v>871</v>
      </c>
      <c r="M137" s="2206" t="s">
        <v>872</v>
      </c>
      <c r="N137" s="2247" t="s">
        <v>873</v>
      </c>
      <c r="O137" s="3481">
        <v>2.167599924733745E-2</v>
      </c>
      <c r="P137" s="3448">
        <v>4382727592.3900003</v>
      </c>
      <c r="Q137" s="2247" t="s">
        <v>874</v>
      </c>
      <c r="R137" s="2247" t="s">
        <v>875</v>
      </c>
      <c r="S137" s="1044" t="s">
        <v>876</v>
      </c>
      <c r="T137" s="1045"/>
      <c r="U137" s="1046"/>
      <c r="V137" s="1047"/>
      <c r="W137" s="2325">
        <v>3500</v>
      </c>
      <c r="X137" s="2190">
        <v>4000</v>
      </c>
      <c r="Y137" s="2190">
        <v>0</v>
      </c>
      <c r="Z137" s="2190">
        <v>0</v>
      </c>
      <c r="AA137" s="2190">
        <v>0</v>
      </c>
      <c r="AB137" s="2190">
        <v>7500</v>
      </c>
      <c r="AC137" s="2190">
        <v>0</v>
      </c>
      <c r="AD137" s="2190">
        <v>0</v>
      </c>
      <c r="AE137" s="2190">
        <v>0</v>
      </c>
      <c r="AF137" s="2190">
        <v>0</v>
      </c>
      <c r="AG137" s="2190">
        <v>0</v>
      </c>
      <c r="AH137" s="2190">
        <v>0</v>
      </c>
      <c r="AI137" s="2190">
        <v>0</v>
      </c>
      <c r="AJ137" s="2190">
        <v>0</v>
      </c>
      <c r="AK137" s="2190">
        <v>0</v>
      </c>
      <c r="AL137" s="2190">
        <v>7500</v>
      </c>
      <c r="AM137" s="3388">
        <v>43832</v>
      </c>
      <c r="AN137" s="3388">
        <v>44195</v>
      </c>
      <c r="AO137" s="2180" t="s">
        <v>652</v>
      </c>
    </row>
    <row r="138" spans="1:41" s="755" customFormat="1" ht="60" customHeight="1" x14ac:dyDescent="0.25">
      <c r="A138" s="989"/>
      <c r="B138" s="58"/>
      <c r="C138" s="58"/>
      <c r="D138" s="314"/>
      <c r="E138" s="58"/>
      <c r="F138" s="315"/>
      <c r="G138" s="3515"/>
      <c r="H138" s="3502"/>
      <c r="I138" s="3517"/>
      <c r="J138" s="2864"/>
      <c r="K138" s="2872"/>
      <c r="L138" s="2323"/>
      <c r="M138" s="2206"/>
      <c r="N138" s="2247"/>
      <c r="O138" s="3481"/>
      <c r="P138" s="3448"/>
      <c r="Q138" s="2247"/>
      <c r="R138" s="2623"/>
      <c r="S138" s="3459" t="s">
        <v>877</v>
      </c>
      <c r="T138" s="1048">
        <v>4066666</v>
      </c>
      <c r="U138" s="1046">
        <v>88</v>
      </c>
      <c r="V138" s="1986" t="s">
        <v>227</v>
      </c>
      <c r="W138" s="2326"/>
      <c r="X138" s="2191"/>
      <c r="Y138" s="2191"/>
      <c r="Z138" s="2191"/>
      <c r="AA138" s="2191"/>
      <c r="AB138" s="2191"/>
      <c r="AC138" s="2191"/>
      <c r="AD138" s="2191"/>
      <c r="AE138" s="2191"/>
      <c r="AF138" s="2191"/>
      <c r="AG138" s="2191"/>
      <c r="AH138" s="2191"/>
      <c r="AI138" s="2191"/>
      <c r="AJ138" s="2191"/>
      <c r="AK138" s="2191"/>
      <c r="AL138" s="2191"/>
      <c r="AM138" s="3389"/>
      <c r="AN138" s="3389"/>
      <c r="AO138" s="2180"/>
    </row>
    <row r="139" spans="1:41" s="755" customFormat="1" ht="42.75" customHeight="1" x14ac:dyDescent="0.25">
      <c r="A139" s="989"/>
      <c r="B139" s="58"/>
      <c r="C139" s="58"/>
      <c r="D139" s="314"/>
      <c r="E139" s="58"/>
      <c r="F139" s="315"/>
      <c r="G139" s="3515"/>
      <c r="H139" s="3502"/>
      <c r="I139" s="3517"/>
      <c r="J139" s="2864"/>
      <c r="K139" s="2872"/>
      <c r="L139" s="2323"/>
      <c r="M139" s="2206"/>
      <c r="N139" s="2247"/>
      <c r="O139" s="3481"/>
      <c r="P139" s="3448"/>
      <c r="Q139" s="2247"/>
      <c r="R139" s="2623"/>
      <c r="S139" s="3459"/>
      <c r="T139" s="1025">
        <v>9686666</v>
      </c>
      <c r="U139" s="934">
        <v>20</v>
      </c>
      <c r="V139" s="1986" t="s">
        <v>70</v>
      </c>
      <c r="W139" s="2326"/>
      <c r="X139" s="2191"/>
      <c r="Y139" s="2191"/>
      <c r="Z139" s="2191"/>
      <c r="AA139" s="2191"/>
      <c r="AB139" s="2191"/>
      <c r="AC139" s="2191"/>
      <c r="AD139" s="2191"/>
      <c r="AE139" s="2191"/>
      <c r="AF139" s="2191"/>
      <c r="AG139" s="2191"/>
      <c r="AH139" s="2191"/>
      <c r="AI139" s="2191"/>
      <c r="AJ139" s="2191"/>
      <c r="AK139" s="2191"/>
      <c r="AL139" s="2191"/>
      <c r="AM139" s="3389"/>
      <c r="AN139" s="3389"/>
      <c r="AO139" s="2180"/>
    </row>
    <row r="140" spans="1:41" s="755" customFormat="1" ht="69" customHeight="1" x14ac:dyDescent="0.25">
      <c r="A140" s="989"/>
      <c r="B140" s="58"/>
      <c r="C140" s="58"/>
      <c r="D140" s="314"/>
      <c r="E140" s="58"/>
      <c r="F140" s="315"/>
      <c r="G140" s="3515"/>
      <c r="H140" s="3502"/>
      <c r="I140" s="3517"/>
      <c r="J140" s="2864"/>
      <c r="K140" s="2872"/>
      <c r="L140" s="2323"/>
      <c r="M140" s="2206"/>
      <c r="N140" s="2247"/>
      <c r="O140" s="3481"/>
      <c r="P140" s="3448"/>
      <c r="Q140" s="2247"/>
      <c r="R140" s="2247"/>
      <c r="S140" s="795" t="s">
        <v>878</v>
      </c>
      <c r="T140" s="1049">
        <v>2800000</v>
      </c>
      <c r="U140" s="934">
        <v>20</v>
      </c>
      <c r="V140" s="1986" t="s">
        <v>70</v>
      </c>
      <c r="W140" s="2326"/>
      <c r="X140" s="2191"/>
      <c r="Y140" s="2191"/>
      <c r="Z140" s="2191"/>
      <c r="AA140" s="2191"/>
      <c r="AB140" s="2191"/>
      <c r="AC140" s="2191"/>
      <c r="AD140" s="2191"/>
      <c r="AE140" s="2191"/>
      <c r="AF140" s="2191"/>
      <c r="AG140" s="2191"/>
      <c r="AH140" s="2191"/>
      <c r="AI140" s="2191"/>
      <c r="AJ140" s="2191"/>
      <c r="AK140" s="2191"/>
      <c r="AL140" s="2191"/>
      <c r="AM140" s="3389"/>
      <c r="AN140" s="3389"/>
      <c r="AO140" s="2180"/>
    </row>
    <row r="141" spans="1:41" s="755" customFormat="1" ht="75.75" customHeight="1" x14ac:dyDescent="0.25">
      <c r="A141" s="989"/>
      <c r="B141" s="58"/>
      <c r="C141" s="58"/>
      <c r="D141" s="314"/>
      <c r="E141" s="58"/>
      <c r="F141" s="315"/>
      <c r="G141" s="3515"/>
      <c r="H141" s="3502"/>
      <c r="I141" s="3517"/>
      <c r="J141" s="2864"/>
      <c r="K141" s="2872"/>
      <c r="L141" s="2323"/>
      <c r="M141" s="2206"/>
      <c r="N141" s="2247"/>
      <c r="O141" s="3481"/>
      <c r="P141" s="3448"/>
      <c r="Q141" s="2247"/>
      <c r="R141" s="2247"/>
      <c r="S141" s="806" t="s">
        <v>879</v>
      </c>
      <c r="T141" s="1025">
        <v>8726667</v>
      </c>
      <c r="U141" s="934">
        <v>20</v>
      </c>
      <c r="V141" s="1986" t="s">
        <v>70</v>
      </c>
      <c r="W141" s="2326"/>
      <c r="X141" s="2191"/>
      <c r="Y141" s="2191"/>
      <c r="Z141" s="2191"/>
      <c r="AA141" s="2191"/>
      <c r="AB141" s="2191"/>
      <c r="AC141" s="2191"/>
      <c r="AD141" s="2191"/>
      <c r="AE141" s="2191"/>
      <c r="AF141" s="2191"/>
      <c r="AG141" s="2191"/>
      <c r="AH141" s="2191"/>
      <c r="AI141" s="2191"/>
      <c r="AJ141" s="2191"/>
      <c r="AK141" s="2191"/>
      <c r="AL141" s="2191"/>
      <c r="AM141" s="3389"/>
      <c r="AN141" s="3389"/>
      <c r="AO141" s="2180"/>
    </row>
    <row r="142" spans="1:41" s="755" customFormat="1" ht="78" customHeight="1" x14ac:dyDescent="0.25">
      <c r="A142" s="989"/>
      <c r="B142" s="58"/>
      <c r="C142" s="58"/>
      <c r="D142" s="314"/>
      <c r="E142" s="58"/>
      <c r="F142" s="315"/>
      <c r="G142" s="3515"/>
      <c r="H142" s="3502"/>
      <c r="I142" s="3517"/>
      <c r="J142" s="2864"/>
      <c r="K142" s="2872"/>
      <c r="L142" s="2323"/>
      <c r="M142" s="2206"/>
      <c r="N142" s="2247"/>
      <c r="O142" s="3481"/>
      <c r="P142" s="3448"/>
      <c r="Q142" s="2247"/>
      <c r="R142" s="2247"/>
      <c r="S142" s="806" t="s">
        <v>880</v>
      </c>
      <c r="T142" s="1049">
        <v>7840000</v>
      </c>
      <c r="U142" s="934">
        <v>20</v>
      </c>
      <c r="V142" s="1986" t="s">
        <v>70</v>
      </c>
      <c r="W142" s="2326"/>
      <c r="X142" s="2191"/>
      <c r="Y142" s="2191"/>
      <c r="Z142" s="2191"/>
      <c r="AA142" s="2191"/>
      <c r="AB142" s="2191"/>
      <c r="AC142" s="2191"/>
      <c r="AD142" s="2191"/>
      <c r="AE142" s="2191"/>
      <c r="AF142" s="2191"/>
      <c r="AG142" s="2191"/>
      <c r="AH142" s="2191"/>
      <c r="AI142" s="2191"/>
      <c r="AJ142" s="2191"/>
      <c r="AK142" s="2191"/>
      <c r="AL142" s="2191"/>
      <c r="AM142" s="3389"/>
      <c r="AN142" s="3389"/>
      <c r="AO142" s="2180"/>
    </row>
    <row r="143" spans="1:41" s="755" customFormat="1" ht="60" x14ac:dyDescent="0.25">
      <c r="A143" s="989"/>
      <c r="B143" s="58"/>
      <c r="C143" s="58"/>
      <c r="D143" s="314"/>
      <c r="E143" s="58"/>
      <c r="F143" s="315"/>
      <c r="G143" s="3515"/>
      <c r="H143" s="3502"/>
      <c r="I143" s="3517"/>
      <c r="J143" s="2864"/>
      <c r="K143" s="2872"/>
      <c r="L143" s="2323"/>
      <c r="M143" s="2206"/>
      <c r="N143" s="2247"/>
      <c r="O143" s="3481"/>
      <c r="P143" s="3448"/>
      <c r="Q143" s="2247"/>
      <c r="R143" s="2247"/>
      <c r="S143" s="1050" t="s">
        <v>881</v>
      </c>
      <c r="T143" s="1045">
        <v>2000000</v>
      </c>
      <c r="U143" s="1046">
        <v>88</v>
      </c>
      <c r="V143" s="1986" t="s">
        <v>227</v>
      </c>
      <c r="W143" s="2326"/>
      <c r="X143" s="2191"/>
      <c r="Y143" s="2191"/>
      <c r="Z143" s="2191"/>
      <c r="AA143" s="2191"/>
      <c r="AB143" s="2191"/>
      <c r="AC143" s="2191"/>
      <c r="AD143" s="2191"/>
      <c r="AE143" s="2191"/>
      <c r="AF143" s="2191"/>
      <c r="AG143" s="2191"/>
      <c r="AH143" s="2191"/>
      <c r="AI143" s="2191"/>
      <c r="AJ143" s="2191"/>
      <c r="AK143" s="2191"/>
      <c r="AL143" s="2191"/>
      <c r="AM143" s="3389"/>
      <c r="AN143" s="3389"/>
      <c r="AO143" s="2180"/>
    </row>
    <row r="144" spans="1:41" s="755" customFormat="1" ht="62.25" customHeight="1" x14ac:dyDescent="0.25">
      <c r="A144" s="989"/>
      <c r="B144" s="58"/>
      <c r="C144" s="58"/>
      <c r="D144" s="314"/>
      <c r="E144" s="58"/>
      <c r="F144" s="315"/>
      <c r="G144" s="3515"/>
      <c r="H144" s="3502"/>
      <c r="I144" s="3517"/>
      <c r="J144" s="2864"/>
      <c r="K144" s="2872"/>
      <c r="L144" s="2323"/>
      <c r="M144" s="2206"/>
      <c r="N144" s="2247"/>
      <c r="O144" s="3481"/>
      <c r="P144" s="3448"/>
      <c r="Q144" s="2247"/>
      <c r="R144" s="2247"/>
      <c r="S144" s="1050" t="s">
        <v>882</v>
      </c>
      <c r="T144" s="1051">
        <v>20272000</v>
      </c>
      <c r="U144" s="934">
        <v>20</v>
      </c>
      <c r="V144" s="1986" t="s">
        <v>70</v>
      </c>
      <c r="W144" s="2326"/>
      <c r="X144" s="2191"/>
      <c r="Y144" s="2191"/>
      <c r="Z144" s="2191"/>
      <c r="AA144" s="2191"/>
      <c r="AB144" s="2191"/>
      <c r="AC144" s="2191"/>
      <c r="AD144" s="2191"/>
      <c r="AE144" s="2191"/>
      <c r="AF144" s="2191"/>
      <c r="AG144" s="2191"/>
      <c r="AH144" s="2191"/>
      <c r="AI144" s="2191"/>
      <c r="AJ144" s="2191"/>
      <c r="AK144" s="2191"/>
      <c r="AL144" s="2191"/>
      <c r="AM144" s="3389"/>
      <c r="AN144" s="3389"/>
      <c r="AO144" s="2180"/>
    </row>
    <row r="145" spans="1:41" s="755" customFormat="1" ht="78.75" customHeight="1" x14ac:dyDescent="0.25">
      <c r="A145" s="989"/>
      <c r="B145" s="58"/>
      <c r="C145" s="58"/>
      <c r="D145" s="314"/>
      <c r="E145" s="58"/>
      <c r="F145" s="315"/>
      <c r="G145" s="3515"/>
      <c r="H145" s="3516"/>
      <c r="I145" s="3518"/>
      <c r="J145" s="3353"/>
      <c r="K145" s="3258"/>
      <c r="L145" s="2323"/>
      <c r="M145" s="2206"/>
      <c r="N145" s="2247"/>
      <c r="O145" s="3482"/>
      <c r="P145" s="3448"/>
      <c r="Q145" s="2247"/>
      <c r="R145" s="2247"/>
      <c r="S145" s="1052" t="s">
        <v>878</v>
      </c>
      <c r="T145" s="1053">
        <v>35608000</v>
      </c>
      <c r="U145" s="934">
        <v>20</v>
      </c>
      <c r="V145" s="1986" t="s">
        <v>70</v>
      </c>
      <c r="W145" s="2326"/>
      <c r="X145" s="2191"/>
      <c r="Y145" s="2191"/>
      <c r="Z145" s="2191"/>
      <c r="AA145" s="2191"/>
      <c r="AB145" s="2191"/>
      <c r="AC145" s="2191"/>
      <c r="AD145" s="2191"/>
      <c r="AE145" s="2191"/>
      <c r="AF145" s="2191"/>
      <c r="AG145" s="2191"/>
      <c r="AH145" s="2191"/>
      <c r="AI145" s="2191"/>
      <c r="AJ145" s="2191"/>
      <c r="AK145" s="2191"/>
      <c r="AL145" s="2191"/>
      <c r="AM145" s="3389"/>
      <c r="AN145" s="3389"/>
      <c r="AO145" s="2180"/>
    </row>
    <row r="146" spans="1:41" s="755" customFormat="1" ht="54" customHeight="1" x14ac:dyDescent="0.25">
      <c r="A146" s="989"/>
      <c r="B146" s="58"/>
      <c r="C146" s="58"/>
      <c r="D146" s="314"/>
      <c r="E146" s="58"/>
      <c r="F146" s="315"/>
      <c r="G146" s="3523">
        <v>4104015</v>
      </c>
      <c r="H146" s="3525">
        <v>38.1</v>
      </c>
      <c r="I146" s="3432" t="s">
        <v>883</v>
      </c>
      <c r="J146" s="3102" t="s">
        <v>884</v>
      </c>
      <c r="K146" s="2836">
        <v>7500</v>
      </c>
      <c r="L146" s="2324"/>
      <c r="M146" s="2206"/>
      <c r="N146" s="2623"/>
      <c r="O146" s="3526">
        <v>0.97</v>
      </c>
      <c r="P146" s="3519"/>
      <c r="Q146" s="2247"/>
      <c r="R146" s="2247"/>
      <c r="S146" s="1050" t="s">
        <v>885</v>
      </c>
      <c r="T146" s="1054">
        <v>650668</v>
      </c>
      <c r="U146" s="934">
        <v>20</v>
      </c>
      <c r="V146" s="1986" t="s">
        <v>70</v>
      </c>
      <c r="W146" s="2326"/>
      <c r="X146" s="2191"/>
      <c r="Y146" s="2191"/>
      <c r="Z146" s="2191"/>
      <c r="AA146" s="2191"/>
      <c r="AB146" s="2191"/>
      <c r="AC146" s="2191"/>
      <c r="AD146" s="2191"/>
      <c r="AE146" s="2191"/>
      <c r="AF146" s="2191"/>
      <c r="AG146" s="2191"/>
      <c r="AH146" s="2191"/>
      <c r="AI146" s="2191"/>
      <c r="AJ146" s="2191"/>
      <c r="AK146" s="2191"/>
      <c r="AL146" s="2191"/>
      <c r="AM146" s="2191"/>
      <c r="AN146" s="2191"/>
      <c r="AO146" s="2180"/>
    </row>
    <row r="147" spans="1:41" s="755" customFormat="1" ht="67.5" customHeight="1" x14ac:dyDescent="0.25">
      <c r="A147" s="989"/>
      <c r="B147" s="58"/>
      <c r="C147" s="58"/>
      <c r="D147" s="314"/>
      <c r="E147" s="58"/>
      <c r="F147" s="315"/>
      <c r="G147" s="3112"/>
      <c r="H147" s="3525"/>
      <c r="I147" s="3432"/>
      <c r="J147" s="3102"/>
      <c r="K147" s="2836"/>
      <c r="L147" s="2324"/>
      <c r="M147" s="2206"/>
      <c r="N147" s="2623"/>
      <c r="O147" s="3526"/>
      <c r="P147" s="3519"/>
      <c r="Q147" s="2247"/>
      <c r="R147" s="2247"/>
      <c r="S147" s="1050" t="s">
        <v>886</v>
      </c>
      <c r="T147" s="1045">
        <v>6048000</v>
      </c>
      <c r="U147" s="934">
        <v>20</v>
      </c>
      <c r="V147" s="1986" t="s">
        <v>70</v>
      </c>
      <c r="W147" s="2326"/>
      <c r="X147" s="2191"/>
      <c r="Y147" s="2191"/>
      <c r="Z147" s="2191"/>
      <c r="AA147" s="2191"/>
      <c r="AB147" s="2191"/>
      <c r="AC147" s="2191"/>
      <c r="AD147" s="2191"/>
      <c r="AE147" s="2191"/>
      <c r="AF147" s="2191"/>
      <c r="AG147" s="2191"/>
      <c r="AH147" s="2191"/>
      <c r="AI147" s="2191"/>
      <c r="AJ147" s="2191"/>
      <c r="AK147" s="2191"/>
      <c r="AL147" s="2191"/>
      <c r="AM147" s="2191"/>
      <c r="AN147" s="2191"/>
      <c r="AO147" s="2190"/>
    </row>
    <row r="148" spans="1:41" s="755" customFormat="1" ht="54" customHeight="1" x14ac:dyDescent="0.25">
      <c r="A148" s="989"/>
      <c r="B148" s="58"/>
      <c r="C148" s="58"/>
      <c r="D148" s="314"/>
      <c r="E148" s="58"/>
      <c r="F148" s="315"/>
      <c r="G148" s="3112"/>
      <c r="H148" s="3525"/>
      <c r="I148" s="3432"/>
      <c r="J148" s="3102"/>
      <c r="K148" s="2836"/>
      <c r="L148" s="2324"/>
      <c r="M148" s="2206"/>
      <c r="N148" s="2623"/>
      <c r="O148" s="3526"/>
      <c r="P148" s="3519"/>
      <c r="Q148" s="2247"/>
      <c r="R148" s="2247"/>
      <c r="S148" s="1044" t="s">
        <v>887</v>
      </c>
      <c r="T148" s="1051">
        <v>650666</v>
      </c>
      <c r="U148" s="934">
        <v>20</v>
      </c>
      <c r="V148" s="1986" t="s">
        <v>70</v>
      </c>
      <c r="W148" s="2326"/>
      <c r="X148" s="2191"/>
      <c r="Y148" s="2191"/>
      <c r="Z148" s="2191"/>
      <c r="AA148" s="2191"/>
      <c r="AB148" s="2191"/>
      <c r="AC148" s="2191"/>
      <c r="AD148" s="2191"/>
      <c r="AE148" s="2191"/>
      <c r="AF148" s="2191"/>
      <c r="AG148" s="2191"/>
      <c r="AH148" s="2191"/>
      <c r="AI148" s="2191"/>
      <c r="AJ148" s="2191"/>
      <c r="AK148" s="2191"/>
      <c r="AL148" s="2191"/>
      <c r="AM148" s="2191"/>
      <c r="AN148" s="2191"/>
      <c r="AO148" s="2190"/>
    </row>
    <row r="149" spans="1:41" s="755" customFormat="1" ht="54" customHeight="1" x14ac:dyDescent="0.25">
      <c r="A149" s="989"/>
      <c r="B149" s="58"/>
      <c r="C149" s="58"/>
      <c r="D149" s="314"/>
      <c r="E149" s="58"/>
      <c r="F149" s="315"/>
      <c r="G149" s="3112"/>
      <c r="H149" s="3525"/>
      <c r="I149" s="3432"/>
      <c r="J149" s="3102"/>
      <c r="K149" s="2836"/>
      <c r="L149" s="2324"/>
      <c r="M149" s="2206"/>
      <c r="N149" s="2623"/>
      <c r="O149" s="3526"/>
      <c r="P149" s="3519"/>
      <c r="Q149" s="2247"/>
      <c r="R149" s="2623"/>
      <c r="S149" s="3432" t="s">
        <v>888</v>
      </c>
      <c r="T149" s="1053">
        <v>11933334</v>
      </c>
      <c r="U149" s="1055">
        <v>88</v>
      </c>
      <c r="V149" s="1986" t="s">
        <v>227</v>
      </c>
      <c r="W149" s="2326"/>
      <c r="X149" s="2191"/>
      <c r="Y149" s="2191"/>
      <c r="Z149" s="2191"/>
      <c r="AA149" s="2191"/>
      <c r="AB149" s="2191"/>
      <c r="AC149" s="2191"/>
      <c r="AD149" s="2191"/>
      <c r="AE149" s="2191"/>
      <c r="AF149" s="2191"/>
      <c r="AG149" s="2191"/>
      <c r="AH149" s="2191"/>
      <c r="AI149" s="2191"/>
      <c r="AJ149" s="2191"/>
      <c r="AK149" s="2191"/>
      <c r="AL149" s="2191"/>
      <c r="AM149" s="2191"/>
      <c r="AN149" s="2191"/>
      <c r="AO149" s="2190"/>
    </row>
    <row r="150" spans="1:41" s="755" customFormat="1" ht="63.75" customHeight="1" x14ac:dyDescent="0.25">
      <c r="A150" s="989"/>
      <c r="B150" s="58"/>
      <c r="C150" s="58"/>
      <c r="D150" s="314"/>
      <c r="E150" s="58"/>
      <c r="F150" s="315"/>
      <c r="G150" s="3112"/>
      <c r="H150" s="3525"/>
      <c r="I150" s="3432"/>
      <c r="J150" s="3102"/>
      <c r="K150" s="2836"/>
      <c r="L150" s="2324"/>
      <c r="M150" s="2206"/>
      <c r="N150" s="2623"/>
      <c r="O150" s="3526"/>
      <c r="P150" s="3519"/>
      <c r="Q150" s="2247"/>
      <c r="R150" s="2623"/>
      <c r="S150" s="3432"/>
      <c r="T150" s="1053">
        <v>6066667</v>
      </c>
      <c r="U150" s="934">
        <v>20</v>
      </c>
      <c r="V150" s="1986" t="s">
        <v>70</v>
      </c>
      <c r="W150" s="2326"/>
      <c r="X150" s="2191"/>
      <c r="Y150" s="2191"/>
      <c r="Z150" s="2191"/>
      <c r="AA150" s="2191"/>
      <c r="AB150" s="2191"/>
      <c r="AC150" s="2191"/>
      <c r="AD150" s="2191"/>
      <c r="AE150" s="2191"/>
      <c r="AF150" s="2191"/>
      <c r="AG150" s="2191"/>
      <c r="AH150" s="2191"/>
      <c r="AI150" s="2191"/>
      <c r="AJ150" s="2191"/>
      <c r="AK150" s="2191"/>
      <c r="AL150" s="2191"/>
      <c r="AM150" s="2191"/>
      <c r="AN150" s="2191"/>
      <c r="AO150" s="2190"/>
    </row>
    <row r="151" spans="1:41" s="755" customFormat="1" ht="42" customHeight="1" x14ac:dyDescent="0.25">
      <c r="A151" s="989"/>
      <c r="B151" s="58"/>
      <c r="C151" s="58"/>
      <c r="D151" s="314"/>
      <c r="E151" s="58"/>
      <c r="F151" s="315"/>
      <c r="G151" s="3112"/>
      <c r="H151" s="3525"/>
      <c r="I151" s="3432"/>
      <c r="J151" s="3102"/>
      <c r="K151" s="2836"/>
      <c r="L151" s="2324"/>
      <c r="M151" s="2206"/>
      <c r="N151" s="2623"/>
      <c r="O151" s="3526"/>
      <c r="P151" s="3519"/>
      <c r="Q151" s="2247"/>
      <c r="R151" s="2623"/>
      <c r="S151" s="3432" t="s">
        <v>889</v>
      </c>
      <c r="T151" s="1053">
        <v>5387626</v>
      </c>
      <c r="U151" s="934">
        <v>20</v>
      </c>
      <c r="V151" s="1986" t="s">
        <v>70</v>
      </c>
      <c r="W151" s="2326"/>
      <c r="X151" s="2191"/>
      <c r="Y151" s="2191"/>
      <c r="Z151" s="2191"/>
      <c r="AA151" s="2191"/>
      <c r="AB151" s="2191"/>
      <c r="AC151" s="2191"/>
      <c r="AD151" s="2191"/>
      <c r="AE151" s="2191"/>
      <c r="AF151" s="2191"/>
      <c r="AG151" s="2191"/>
      <c r="AH151" s="2191"/>
      <c r="AI151" s="2191"/>
      <c r="AJ151" s="2191"/>
      <c r="AK151" s="2191"/>
      <c r="AL151" s="2191"/>
      <c r="AM151" s="2191"/>
      <c r="AN151" s="2191"/>
      <c r="AO151" s="2190"/>
    </row>
    <row r="152" spans="1:41" s="755" customFormat="1" ht="34.5" customHeight="1" x14ac:dyDescent="0.25">
      <c r="A152" s="989"/>
      <c r="B152" s="58"/>
      <c r="C152" s="58"/>
      <c r="D152" s="314"/>
      <c r="E152" s="58"/>
      <c r="F152" s="315"/>
      <c r="G152" s="3112"/>
      <c r="H152" s="3525"/>
      <c r="I152" s="3432"/>
      <c r="J152" s="3102"/>
      <c r="K152" s="2836"/>
      <c r="L152" s="2324"/>
      <c r="M152" s="2206"/>
      <c r="N152" s="2623"/>
      <c r="O152" s="3526"/>
      <c r="P152" s="3519"/>
      <c r="Q152" s="2247"/>
      <c r="R152" s="2623"/>
      <c r="S152" s="3432"/>
      <c r="T152" s="1053">
        <v>14362941</v>
      </c>
      <c r="U152" s="1056">
        <v>88</v>
      </c>
      <c r="V152" s="1986" t="s">
        <v>227</v>
      </c>
      <c r="W152" s="2326"/>
      <c r="X152" s="2191"/>
      <c r="Y152" s="2191"/>
      <c r="Z152" s="2191"/>
      <c r="AA152" s="2191"/>
      <c r="AB152" s="2191"/>
      <c r="AC152" s="2191"/>
      <c r="AD152" s="2191"/>
      <c r="AE152" s="2191"/>
      <c r="AF152" s="2191"/>
      <c r="AG152" s="2191"/>
      <c r="AH152" s="2191"/>
      <c r="AI152" s="2191"/>
      <c r="AJ152" s="2191"/>
      <c r="AK152" s="2191"/>
      <c r="AL152" s="2191"/>
      <c r="AM152" s="2191"/>
      <c r="AN152" s="2191"/>
      <c r="AO152" s="2190"/>
    </row>
    <row r="153" spans="1:41" s="755" customFormat="1" ht="44.25" customHeight="1" x14ac:dyDescent="0.25">
      <c r="A153" s="989"/>
      <c r="B153" s="58"/>
      <c r="C153" s="58"/>
      <c r="D153" s="314"/>
      <c r="E153" s="58"/>
      <c r="F153" s="315"/>
      <c r="G153" s="3112"/>
      <c r="H153" s="3525"/>
      <c r="I153" s="3432"/>
      <c r="J153" s="3102"/>
      <c r="K153" s="2836"/>
      <c r="L153" s="2324"/>
      <c r="M153" s="2206"/>
      <c r="N153" s="2623"/>
      <c r="O153" s="3526"/>
      <c r="P153" s="3519"/>
      <c r="Q153" s="2247"/>
      <c r="R153" s="2247"/>
      <c r="S153" s="1057" t="s">
        <v>890</v>
      </c>
      <c r="T153" s="1054">
        <v>0</v>
      </c>
      <c r="U153" s="1058"/>
      <c r="V153" s="1059"/>
      <c r="W153" s="2326"/>
      <c r="X153" s="2191"/>
      <c r="Y153" s="2191"/>
      <c r="Z153" s="2191"/>
      <c r="AA153" s="2191"/>
      <c r="AB153" s="2191"/>
      <c r="AC153" s="2191"/>
      <c r="AD153" s="2191"/>
      <c r="AE153" s="2191"/>
      <c r="AF153" s="2191"/>
      <c r="AG153" s="2191"/>
      <c r="AH153" s="2191"/>
      <c r="AI153" s="2191"/>
      <c r="AJ153" s="2191"/>
      <c r="AK153" s="2191"/>
      <c r="AL153" s="2191"/>
      <c r="AM153" s="2191"/>
      <c r="AN153" s="2191"/>
      <c r="AO153" s="2190"/>
    </row>
    <row r="154" spans="1:41" s="755" customFormat="1" ht="62.25" customHeight="1" x14ac:dyDescent="0.25">
      <c r="A154" s="989"/>
      <c r="B154" s="58"/>
      <c r="C154" s="58"/>
      <c r="D154" s="314"/>
      <c r="E154" s="58"/>
      <c r="F154" s="315"/>
      <c r="G154" s="3524"/>
      <c r="H154" s="3527">
        <v>38.5</v>
      </c>
      <c r="I154" s="3529" t="s">
        <v>891</v>
      </c>
      <c r="J154" s="3530" t="s">
        <v>892</v>
      </c>
      <c r="K154" s="3531">
        <v>12</v>
      </c>
      <c r="L154" s="2323"/>
      <c r="M154" s="2206"/>
      <c r="N154" s="2247"/>
      <c r="O154" s="1060"/>
      <c r="P154" s="3448"/>
      <c r="Q154" s="2247"/>
      <c r="R154" s="2247"/>
      <c r="S154" s="1050" t="s">
        <v>893</v>
      </c>
      <c r="T154" s="1045">
        <v>1500000</v>
      </c>
      <c r="U154" s="934">
        <v>20</v>
      </c>
      <c r="V154" s="1986" t="s">
        <v>70</v>
      </c>
      <c r="W154" s="2326"/>
      <c r="X154" s="2191"/>
      <c r="Y154" s="2191"/>
      <c r="Z154" s="2191"/>
      <c r="AA154" s="2191"/>
      <c r="AB154" s="2191"/>
      <c r="AC154" s="2191"/>
      <c r="AD154" s="2191"/>
      <c r="AE154" s="2191"/>
      <c r="AF154" s="2191"/>
      <c r="AG154" s="2191"/>
      <c r="AH154" s="2191"/>
      <c r="AI154" s="2191"/>
      <c r="AJ154" s="2191"/>
      <c r="AK154" s="2191"/>
      <c r="AL154" s="2191"/>
      <c r="AM154" s="2191"/>
      <c r="AN154" s="2191"/>
      <c r="AO154" s="2190"/>
    </row>
    <row r="155" spans="1:41" s="755" customFormat="1" ht="56.25" customHeight="1" x14ac:dyDescent="0.25">
      <c r="A155" s="989"/>
      <c r="B155" s="58"/>
      <c r="C155" s="58"/>
      <c r="D155" s="314"/>
      <c r="E155" s="58"/>
      <c r="F155" s="315"/>
      <c r="G155" s="3524"/>
      <c r="H155" s="3528"/>
      <c r="I155" s="3520"/>
      <c r="J155" s="2441"/>
      <c r="K155" s="2306"/>
      <c r="L155" s="2323"/>
      <c r="M155" s="2206"/>
      <c r="N155" s="2247"/>
      <c r="O155" s="1060"/>
      <c r="P155" s="3448"/>
      <c r="Q155" s="2247"/>
      <c r="R155" s="2247"/>
      <c r="S155" s="1044" t="s">
        <v>894</v>
      </c>
      <c r="T155" s="1045">
        <v>2150666</v>
      </c>
      <c r="U155" s="934">
        <v>20</v>
      </c>
      <c r="V155" s="1986" t="s">
        <v>70</v>
      </c>
      <c r="W155" s="2326"/>
      <c r="X155" s="2191"/>
      <c r="Y155" s="2191"/>
      <c r="Z155" s="2191"/>
      <c r="AA155" s="2191"/>
      <c r="AB155" s="2191"/>
      <c r="AC155" s="2191"/>
      <c r="AD155" s="2191"/>
      <c r="AE155" s="2191"/>
      <c r="AF155" s="2191"/>
      <c r="AG155" s="2191"/>
      <c r="AH155" s="2191"/>
      <c r="AI155" s="2191"/>
      <c r="AJ155" s="2191"/>
      <c r="AK155" s="2191"/>
      <c r="AL155" s="2191"/>
      <c r="AM155" s="2191"/>
      <c r="AN155" s="2191"/>
      <c r="AO155" s="2190"/>
    </row>
    <row r="156" spans="1:41" ht="58.5" customHeight="1" x14ac:dyDescent="0.25">
      <c r="A156" s="114"/>
      <c r="B156" s="4"/>
      <c r="C156" s="4"/>
      <c r="D156" s="845"/>
      <c r="E156" s="4"/>
      <c r="F156" s="115"/>
      <c r="G156" s="3524" t="s">
        <v>567</v>
      </c>
      <c r="H156" s="3528"/>
      <c r="I156" s="3520"/>
      <c r="J156" s="2441"/>
      <c r="K156" s="2306"/>
      <c r="L156" s="2323"/>
      <c r="M156" s="2206"/>
      <c r="N156" s="2247"/>
      <c r="O156" s="3521">
        <v>0.02</v>
      </c>
      <c r="P156" s="3448"/>
      <c r="Q156" s="2247"/>
      <c r="R156" s="2623"/>
      <c r="S156" s="3444" t="s">
        <v>895</v>
      </c>
      <c r="T156" s="1048">
        <v>2402517600</v>
      </c>
      <c r="U156" s="1046">
        <v>6</v>
      </c>
      <c r="V156" s="1047" t="s">
        <v>1716</v>
      </c>
      <c r="W156" s="2326"/>
      <c r="X156" s="2191"/>
      <c r="Y156" s="2191"/>
      <c r="Z156" s="2191"/>
      <c r="AA156" s="2191"/>
      <c r="AB156" s="2191"/>
      <c r="AC156" s="2191"/>
      <c r="AD156" s="2191"/>
      <c r="AE156" s="2191"/>
      <c r="AF156" s="2191"/>
      <c r="AG156" s="2191"/>
      <c r="AH156" s="2191"/>
      <c r="AI156" s="2191"/>
      <c r="AJ156" s="2191"/>
      <c r="AK156" s="2191"/>
      <c r="AL156" s="2191"/>
      <c r="AM156" s="2191"/>
      <c r="AN156" s="2191"/>
      <c r="AO156" s="2190"/>
    </row>
    <row r="157" spans="1:41" ht="71.25" customHeight="1" x14ac:dyDescent="0.25">
      <c r="A157" s="114"/>
      <c r="B157" s="4"/>
      <c r="C157" s="4"/>
      <c r="D157" s="845"/>
      <c r="E157" s="4"/>
      <c r="F157" s="115"/>
      <c r="G157" s="3524"/>
      <c r="H157" s="3528"/>
      <c r="I157" s="3520"/>
      <c r="J157" s="2441"/>
      <c r="K157" s="2306"/>
      <c r="L157" s="2323"/>
      <c r="M157" s="2206"/>
      <c r="N157" s="2247"/>
      <c r="O157" s="3521"/>
      <c r="P157" s="3448"/>
      <c r="Q157" s="2247"/>
      <c r="R157" s="2623"/>
      <c r="S157" s="3444"/>
      <c r="T157" s="1048">
        <v>581391714.38999999</v>
      </c>
      <c r="U157" s="1046">
        <v>84</v>
      </c>
      <c r="V157" s="1987" t="s">
        <v>1717</v>
      </c>
      <c r="W157" s="2326"/>
      <c r="X157" s="2191"/>
      <c r="Y157" s="2191"/>
      <c r="Z157" s="2191"/>
      <c r="AA157" s="2191"/>
      <c r="AB157" s="2191"/>
      <c r="AC157" s="2191"/>
      <c r="AD157" s="2191"/>
      <c r="AE157" s="2191"/>
      <c r="AF157" s="2191"/>
      <c r="AG157" s="2191"/>
      <c r="AH157" s="2191"/>
      <c r="AI157" s="2191"/>
      <c r="AJ157" s="2191"/>
      <c r="AK157" s="2191"/>
      <c r="AL157" s="2191"/>
      <c r="AM157" s="2191"/>
      <c r="AN157" s="2191"/>
      <c r="AO157" s="2190"/>
    </row>
    <row r="158" spans="1:41" ht="48.75" customHeight="1" x14ac:dyDescent="0.25">
      <c r="A158" s="114"/>
      <c r="B158" s="4"/>
      <c r="C158" s="4"/>
      <c r="D158" s="845"/>
      <c r="E158" s="4"/>
      <c r="F158" s="115"/>
      <c r="G158" s="3524"/>
      <c r="H158" s="3528"/>
      <c r="I158" s="3520"/>
      <c r="J158" s="2441"/>
      <c r="K158" s="2306"/>
      <c r="L158" s="2323"/>
      <c r="M158" s="2206"/>
      <c r="N158" s="2247"/>
      <c r="O158" s="3521"/>
      <c r="P158" s="3448"/>
      <c r="Q158" s="2247"/>
      <c r="R158" s="2247"/>
      <c r="S158" s="3520" t="s">
        <v>896</v>
      </c>
      <c r="T158" s="1045">
        <v>1029650400</v>
      </c>
      <c r="U158" s="1046">
        <v>6</v>
      </c>
      <c r="V158" s="1047" t="s">
        <v>1716</v>
      </c>
      <c r="W158" s="2326"/>
      <c r="X158" s="2191"/>
      <c r="Y158" s="2191"/>
      <c r="Z158" s="2191"/>
      <c r="AA158" s="2191"/>
      <c r="AB158" s="2191"/>
      <c r="AC158" s="2191"/>
      <c r="AD158" s="2191"/>
      <c r="AE158" s="2191"/>
      <c r="AF158" s="2191"/>
      <c r="AG158" s="2191"/>
      <c r="AH158" s="2191"/>
      <c r="AI158" s="2191"/>
      <c r="AJ158" s="2191"/>
      <c r="AK158" s="2191"/>
      <c r="AL158" s="2191"/>
      <c r="AM158" s="2191"/>
      <c r="AN158" s="2191"/>
      <c r="AO158" s="2190"/>
    </row>
    <row r="159" spans="1:41" ht="54" customHeight="1" x14ac:dyDescent="0.25">
      <c r="A159" s="114"/>
      <c r="B159" s="4"/>
      <c r="C159" s="4"/>
      <c r="D159" s="845"/>
      <c r="E159" s="4"/>
      <c r="F159" s="115"/>
      <c r="G159" s="3532"/>
      <c r="H159" s="3259"/>
      <c r="I159" s="3443"/>
      <c r="J159" s="2442"/>
      <c r="K159" s="2307"/>
      <c r="L159" s="2323"/>
      <c r="M159" s="2206"/>
      <c r="N159" s="2247"/>
      <c r="O159" s="3522"/>
      <c r="P159" s="3448"/>
      <c r="Q159" s="2247"/>
      <c r="R159" s="2247"/>
      <c r="S159" s="3443"/>
      <c r="T159" s="1045">
        <v>249167878</v>
      </c>
      <c r="U159" s="1046">
        <v>84</v>
      </c>
      <c r="V159" s="1987" t="s">
        <v>1717</v>
      </c>
      <c r="W159" s="2326"/>
      <c r="X159" s="2191"/>
      <c r="Y159" s="2191"/>
      <c r="Z159" s="2191"/>
      <c r="AA159" s="2191"/>
      <c r="AB159" s="2191"/>
      <c r="AC159" s="2191"/>
      <c r="AD159" s="2191"/>
      <c r="AE159" s="2191"/>
      <c r="AF159" s="2191"/>
      <c r="AG159" s="2191"/>
      <c r="AH159" s="2191"/>
      <c r="AI159" s="2191"/>
      <c r="AJ159" s="2191"/>
      <c r="AK159" s="2191"/>
      <c r="AL159" s="2191"/>
      <c r="AM159" s="2191"/>
      <c r="AN159" s="2191"/>
      <c r="AO159" s="2190"/>
    </row>
    <row r="160" spans="1:41" ht="56.25" customHeight="1" x14ac:dyDescent="0.25">
      <c r="A160" s="114"/>
      <c r="B160" s="4"/>
      <c r="C160" s="4"/>
      <c r="D160" s="2859"/>
      <c r="E160" s="3419"/>
      <c r="F160" s="115"/>
      <c r="G160" s="3499" t="s">
        <v>567</v>
      </c>
      <c r="H160" s="3501">
        <v>38.6</v>
      </c>
      <c r="I160" s="3443" t="s">
        <v>897</v>
      </c>
      <c r="J160" s="2442" t="s">
        <v>898</v>
      </c>
      <c r="K160" s="2307">
        <v>1</v>
      </c>
      <c r="L160" s="2307" t="s">
        <v>899</v>
      </c>
      <c r="M160" s="2205" t="s">
        <v>900</v>
      </c>
      <c r="N160" s="2320" t="s">
        <v>901</v>
      </c>
      <c r="O160" s="3533">
        <v>1</v>
      </c>
      <c r="P160" s="3535">
        <v>188546842</v>
      </c>
      <c r="Q160" s="2320" t="s">
        <v>902</v>
      </c>
      <c r="R160" s="2574" t="s">
        <v>903</v>
      </c>
      <c r="S160" s="3520" t="s">
        <v>797</v>
      </c>
      <c r="T160" s="1061">
        <v>5866667</v>
      </c>
      <c r="U160" s="1062">
        <v>88</v>
      </c>
      <c r="V160" s="1986" t="s">
        <v>227</v>
      </c>
      <c r="W160" s="2206">
        <v>2360</v>
      </c>
      <c r="X160" s="2206">
        <v>2360</v>
      </c>
      <c r="Y160" s="2852">
        <v>1500</v>
      </c>
      <c r="Z160" s="2852">
        <v>480</v>
      </c>
      <c r="AA160" s="2852">
        <v>1200</v>
      </c>
      <c r="AB160" s="2852">
        <v>1500</v>
      </c>
      <c r="AC160" s="2852">
        <v>20</v>
      </c>
      <c r="AD160" s="2852">
        <v>20</v>
      </c>
      <c r="AE160" s="2852">
        <v>0</v>
      </c>
      <c r="AF160" s="2852">
        <v>0</v>
      </c>
      <c r="AG160" s="2852">
        <v>0</v>
      </c>
      <c r="AH160" s="2852">
        <v>0</v>
      </c>
      <c r="AI160" s="2852">
        <v>1000</v>
      </c>
      <c r="AJ160" s="2852">
        <v>0</v>
      </c>
      <c r="AK160" s="3538">
        <v>0</v>
      </c>
      <c r="AL160" s="2852">
        <v>4720</v>
      </c>
      <c r="AM160" s="3400">
        <v>43832</v>
      </c>
      <c r="AN160" s="3400">
        <v>44195</v>
      </c>
      <c r="AO160" s="2206" t="s">
        <v>652</v>
      </c>
    </row>
    <row r="161" spans="1:41" ht="39.75" customHeight="1" x14ac:dyDescent="0.25">
      <c r="A161" s="114"/>
      <c r="B161" s="4"/>
      <c r="C161" s="4"/>
      <c r="D161" s="2859"/>
      <c r="E161" s="3419"/>
      <c r="F161" s="115"/>
      <c r="G161" s="3500"/>
      <c r="H161" s="3502"/>
      <c r="I161" s="3444"/>
      <c r="J161" s="2267"/>
      <c r="K161" s="2323"/>
      <c r="L161" s="2323"/>
      <c r="M161" s="2206"/>
      <c r="N161" s="2247"/>
      <c r="O161" s="3534"/>
      <c r="P161" s="3536"/>
      <c r="Q161" s="2247"/>
      <c r="R161" s="2574"/>
      <c r="S161" s="3443"/>
      <c r="T161" s="1063">
        <v>21000000</v>
      </c>
      <c r="U161" s="934">
        <v>20</v>
      </c>
      <c r="V161" s="1986" t="s">
        <v>70</v>
      </c>
      <c r="W161" s="2206"/>
      <c r="X161" s="2206"/>
      <c r="Y161" s="2852"/>
      <c r="Z161" s="2852"/>
      <c r="AA161" s="2852"/>
      <c r="AB161" s="2852"/>
      <c r="AC161" s="2852"/>
      <c r="AD161" s="2852"/>
      <c r="AE161" s="2852"/>
      <c r="AF161" s="2852"/>
      <c r="AG161" s="2852"/>
      <c r="AH161" s="2852"/>
      <c r="AI161" s="2852"/>
      <c r="AJ161" s="2852"/>
      <c r="AK161" s="3538"/>
      <c r="AL161" s="2852"/>
      <c r="AM161" s="3400"/>
      <c r="AN161" s="3400"/>
      <c r="AO161" s="2206"/>
    </row>
    <row r="162" spans="1:41" ht="56.25" customHeight="1" x14ac:dyDescent="0.25">
      <c r="A162" s="114"/>
      <c r="B162" s="4"/>
      <c r="C162" s="4"/>
      <c r="D162" s="2859"/>
      <c r="E162" s="3419"/>
      <c r="F162" s="115"/>
      <c r="G162" s="3500"/>
      <c r="H162" s="3502"/>
      <c r="I162" s="3444"/>
      <c r="J162" s="2267"/>
      <c r="K162" s="2323"/>
      <c r="L162" s="2323"/>
      <c r="M162" s="2206"/>
      <c r="N162" s="2247"/>
      <c r="O162" s="3534"/>
      <c r="P162" s="3536"/>
      <c r="Q162" s="2247"/>
      <c r="R162" s="2574"/>
      <c r="S162" s="1064" t="s">
        <v>904</v>
      </c>
      <c r="T162" s="1063">
        <v>39501135</v>
      </c>
      <c r="U162" s="934">
        <v>20</v>
      </c>
      <c r="V162" s="1986" t="s">
        <v>70</v>
      </c>
      <c r="W162" s="2206"/>
      <c r="X162" s="2206"/>
      <c r="Y162" s="2852"/>
      <c r="Z162" s="2852"/>
      <c r="AA162" s="2852"/>
      <c r="AB162" s="2852"/>
      <c r="AC162" s="2852"/>
      <c r="AD162" s="2852"/>
      <c r="AE162" s="2852"/>
      <c r="AF162" s="2852"/>
      <c r="AG162" s="2852"/>
      <c r="AH162" s="2852"/>
      <c r="AI162" s="2852"/>
      <c r="AJ162" s="2852"/>
      <c r="AK162" s="3538"/>
      <c r="AL162" s="2852"/>
      <c r="AM162" s="3400"/>
      <c r="AN162" s="3400"/>
      <c r="AO162" s="2206"/>
    </row>
    <row r="163" spans="1:41" ht="57.75" customHeight="1" x14ac:dyDescent="0.25">
      <c r="A163" s="114"/>
      <c r="B163" s="4"/>
      <c r="C163" s="4"/>
      <c r="D163" s="2859"/>
      <c r="E163" s="3419"/>
      <c r="F163" s="115"/>
      <c r="G163" s="3500"/>
      <c r="H163" s="3502"/>
      <c r="I163" s="3444"/>
      <c r="J163" s="2267"/>
      <c r="K163" s="2323"/>
      <c r="L163" s="2323"/>
      <c r="M163" s="2206"/>
      <c r="N163" s="2247"/>
      <c r="O163" s="3534"/>
      <c r="P163" s="3536"/>
      <c r="Q163" s="2247"/>
      <c r="R163" s="2574"/>
      <c r="S163" s="1064" t="s">
        <v>905</v>
      </c>
      <c r="T163" s="1063">
        <v>4300000</v>
      </c>
      <c r="U163" s="975">
        <v>88</v>
      </c>
      <c r="V163" s="1986" t="s">
        <v>227</v>
      </c>
      <c r="W163" s="2206"/>
      <c r="X163" s="2206"/>
      <c r="Y163" s="2852"/>
      <c r="Z163" s="2852"/>
      <c r="AA163" s="2852"/>
      <c r="AB163" s="2852"/>
      <c r="AC163" s="2852"/>
      <c r="AD163" s="2852"/>
      <c r="AE163" s="2852"/>
      <c r="AF163" s="2852"/>
      <c r="AG163" s="2852"/>
      <c r="AH163" s="2852"/>
      <c r="AI163" s="2852"/>
      <c r="AJ163" s="2852"/>
      <c r="AK163" s="3538"/>
      <c r="AL163" s="2852"/>
      <c r="AM163" s="3400"/>
      <c r="AN163" s="3400"/>
      <c r="AO163" s="2206"/>
    </row>
    <row r="164" spans="1:41" ht="60" x14ac:dyDescent="0.25">
      <c r="A164" s="114"/>
      <c r="B164" s="4"/>
      <c r="C164" s="4"/>
      <c r="D164" s="2859"/>
      <c r="E164" s="3419"/>
      <c r="F164" s="115"/>
      <c r="G164" s="3500"/>
      <c r="H164" s="3502"/>
      <c r="I164" s="3444"/>
      <c r="J164" s="2267"/>
      <c r="K164" s="2323"/>
      <c r="L164" s="2323"/>
      <c r="M164" s="2206"/>
      <c r="N164" s="2247"/>
      <c r="O164" s="3534"/>
      <c r="P164" s="3536"/>
      <c r="Q164" s="2247"/>
      <c r="R164" s="2574"/>
      <c r="S164" s="1064" t="s">
        <v>906</v>
      </c>
      <c r="T164" s="1063">
        <v>5000000</v>
      </c>
      <c r="U164" s="975">
        <v>88</v>
      </c>
      <c r="V164" s="1986" t="s">
        <v>227</v>
      </c>
      <c r="W164" s="2206"/>
      <c r="X164" s="2206"/>
      <c r="Y164" s="2852"/>
      <c r="Z164" s="2852"/>
      <c r="AA164" s="2852"/>
      <c r="AB164" s="2852"/>
      <c r="AC164" s="2852"/>
      <c r="AD164" s="2852"/>
      <c r="AE164" s="2852"/>
      <c r="AF164" s="2852"/>
      <c r="AG164" s="2852"/>
      <c r="AH164" s="2852"/>
      <c r="AI164" s="2852"/>
      <c r="AJ164" s="2852"/>
      <c r="AK164" s="3538"/>
      <c r="AL164" s="2852"/>
      <c r="AM164" s="3400"/>
      <c r="AN164" s="3400"/>
      <c r="AO164" s="2206"/>
    </row>
    <row r="165" spans="1:41" ht="64.5" customHeight="1" x14ac:dyDescent="0.25">
      <c r="A165" s="114"/>
      <c r="B165" s="4"/>
      <c r="C165" s="4"/>
      <c r="D165" s="2859"/>
      <c r="E165" s="3419"/>
      <c r="F165" s="115"/>
      <c r="G165" s="3500"/>
      <c r="H165" s="3502"/>
      <c r="I165" s="3444"/>
      <c r="J165" s="2267"/>
      <c r="K165" s="2323"/>
      <c r="L165" s="2323"/>
      <c r="M165" s="2206"/>
      <c r="N165" s="2247"/>
      <c r="O165" s="3534"/>
      <c r="P165" s="3536"/>
      <c r="Q165" s="2247"/>
      <c r="R165" s="2574"/>
      <c r="S165" s="1064" t="s">
        <v>907</v>
      </c>
      <c r="T165" s="1063">
        <v>5266667</v>
      </c>
      <c r="U165" s="975">
        <v>88</v>
      </c>
      <c r="V165" s="1986" t="s">
        <v>227</v>
      </c>
      <c r="W165" s="2206"/>
      <c r="X165" s="2206"/>
      <c r="Y165" s="2852"/>
      <c r="Z165" s="2852"/>
      <c r="AA165" s="2852"/>
      <c r="AB165" s="2852"/>
      <c r="AC165" s="2852"/>
      <c r="AD165" s="2852"/>
      <c r="AE165" s="2852"/>
      <c r="AF165" s="2852"/>
      <c r="AG165" s="2852"/>
      <c r="AH165" s="2852"/>
      <c r="AI165" s="2852"/>
      <c r="AJ165" s="2852"/>
      <c r="AK165" s="3538"/>
      <c r="AL165" s="2852"/>
      <c r="AM165" s="3400"/>
      <c r="AN165" s="3400"/>
      <c r="AO165" s="2206"/>
    </row>
    <row r="166" spans="1:41" ht="47.25" customHeight="1" x14ac:dyDescent="0.25">
      <c r="A166" s="114"/>
      <c r="B166" s="4"/>
      <c r="C166" s="4"/>
      <c r="D166" s="2859"/>
      <c r="E166" s="3419"/>
      <c r="F166" s="115"/>
      <c r="G166" s="3500"/>
      <c r="H166" s="3502"/>
      <c r="I166" s="3444"/>
      <c r="J166" s="2267"/>
      <c r="K166" s="2323"/>
      <c r="L166" s="2323"/>
      <c r="M166" s="2206"/>
      <c r="N166" s="2247"/>
      <c r="O166" s="3534"/>
      <c r="P166" s="3536"/>
      <c r="Q166" s="2247"/>
      <c r="R166" s="2574"/>
      <c r="S166" s="1064" t="s">
        <v>908</v>
      </c>
      <c r="T166" s="1063">
        <v>36057906</v>
      </c>
      <c r="U166" s="934">
        <v>20</v>
      </c>
      <c r="V166" s="1986" t="s">
        <v>70</v>
      </c>
      <c r="W166" s="2206"/>
      <c r="X166" s="2206"/>
      <c r="Y166" s="2852"/>
      <c r="Z166" s="2852"/>
      <c r="AA166" s="2852"/>
      <c r="AB166" s="2852"/>
      <c r="AC166" s="2852"/>
      <c r="AD166" s="2852"/>
      <c r="AE166" s="2852"/>
      <c r="AF166" s="2852"/>
      <c r="AG166" s="2852"/>
      <c r="AH166" s="2852"/>
      <c r="AI166" s="2852"/>
      <c r="AJ166" s="2852"/>
      <c r="AK166" s="3538"/>
      <c r="AL166" s="2852"/>
      <c r="AM166" s="3400"/>
      <c r="AN166" s="3400"/>
      <c r="AO166" s="2206"/>
    </row>
    <row r="167" spans="1:41" ht="63.75" customHeight="1" x14ac:dyDescent="0.25">
      <c r="A167" s="114"/>
      <c r="B167" s="4"/>
      <c r="C167" s="4"/>
      <c r="D167" s="2859"/>
      <c r="E167" s="3419"/>
      <c r="F167" s="115"/>
      <c r="G167" s="3500"/>
      <c r="H167" s="3502"/>
      <c r="I167" s="3444"/>
      <c r="J167" s="2267"/>
      <c r="K167" s="2323"/>
      <c r="L167" s="2323"/>
      <c r="M167" s="2206"/>
      <c r="N167" s="2247"/>
      <c r="O167" s="3534"/>
      <c r="P167" s="3536"/>
      <c r="Q167" s="2247"/>
      <c r="R167" s="2574"/>
      <c r="S167" s="1064" t="s">
        <v>909</v>
      </c>
      <c r="T167" s="1063">
        <v>19750567</v>
      </c>
      <c r="U167" s="975">
        <v>88</v>
      </c>
      <c r="V167" s="1986" t="s">
        <v>227</v>
      </c>
      <c r="W167" s="2206"/>
      <c r="X167" s="2206"/>
      <c r="Y167" s="2852"/>
      <c r="Z167" s="2852"/>
      <c r="AA167" s="2852"/>
      <c r="AB167" s="2852"/>
      <c r="AC167" s="2852"/>
      <c r="AD167" s="2852"/>
      <c r="AE167" s="2852"/>
      <c r="AF167" s="2852"/>
      <c r="AG167" s="2852"/>
      <c r="AH167" s="2852"/>
      <c r="AI167" s="2852"/>
      <c r="AJ167" s="2852"/>
      <c r="AK167" s="3538"/>
      <c r="AL167" s="2852"/>
      <c r="AM167" s="3400"/>
      <c r="AN167" s="3400"/>
      <c r="AO167" s="2206"/>
    </row>
    <row r="168" spans="1:41" ht="65.25" customHeight="1" x14ac:dyDescent="0.25">
      <c r="A168" s="114"/>
      <c r="B168" s="4"/>
      <c r="C168" s="4"/>
      <c r="D168" s="2859"/>
      <c r="E168" s="3419"/>
      <c r="F168" s="115"/>
      <c r="G168" s="3500"/>
      <c r="H168" s="3502"/>
      <c r="I168" s="3444"/>
      <c r="J168" s="2267"/>
      <c r="K168" s="2323"/>
      <c r="L168" s="2323"/>
      <c r="M168" s="2206"/>
      <c r="N168" s="2247"/>
      <c r="O168" s="3534"/>
      <c r="P168" s="3536"/>
      <c r="Q168" s="2247"/>
      <c r="R168" s="2574"/>
      <c r="S168" s="1065" t="s">
        <v>910</v>
      </c>
      <c r="T168" s="1063"/>
      <c r="U168" s="934">
        <v>20</v>
      </c>
      <c r="V168" s="1986" t="s">
        <v>70</v>
      </c>
      <c r="W168" s="2206"/>
      <c r="X168" s="2206"/>
      <c r="Y168" s="2852"/>
      <c r="Z168" s="2852"/>
      <c r="AA168" s="2852"/>
      <c r="AB168" s="2852"/>
      <c r="AC168" s="2852"/>
      <c r="AD168" s="2852"/>
      <c r="AE168" s="2852"/>
      <c r="AF168" s="2852"/>
      <c r="AG168" s="2852"/>
      <c r="AH168" s="2852"/>
      <c r="AI168" s="2852"/>
      <c r="AJ168" s="2852"/>
      <c r="AK168" s="3538"/>
      <c r="AL168" s="2852"/>
      <c r="AM168" s="3400"/>
      <c r="AN168" s="3400"/>
      <c r="AO168" s="2206"/>
    </row>
    <row r="169" spans="1:41" ht="109.5" customHeight="1" x14ac:dyDescent="0.25">
      <c r="A169" s="114"/>
      <c r="B169" s="4"/>
      <c r="C169" s="4"/>
      <c r="D169" s="2859"/>
      <c r="E169" s="3419"/>
      <c r="F169" s="115"/>
      <c r="G169" s="3500"/>
      <c r="H169" s="3502"/>
      <c r="I169" s="3444"/>
      <c r="J169" s="2267"/>
      <c r="K169" s="2323"/>
      <c r="L169" s="2323"/>
      <c r="M169" s="2206"/>
      <c r="N169" s="2247"/>
      <c r="O169" s="3534"/>
      <c r="P169" s="3536"/>
      <c r="Q169" s="2247"/>
      <c r="R169" s="2574"/>
      <c r="S169" s="1064" t="s">
        <v>911</v>
      </c>
      <c r="T169" s="984">
        <v>4053333</v>
      </c>
      <c r="U169" s="934">
        <v>20</v>
      </c>
      <c r="V169" s="1986" t="s">
        <v>70</v>
      </c>
      <c r="W169" s="2206"/>
      <c r="X169" s="2206"/>
      <c r="Y169" s="2852"/>
      <c r="Z169" s="2852"/>
      <c r="AA169" s="2852"/>
      <c r="AB169" s="2852"/>
      <c r="AC169" s="2852"/>
      <c r="AD169" s="2852"/>
      <c r="AE169" s="2852"/>
      <c r="AF169" s="2852"/>
      <c r="AG169" s="2852"/>
      <c r="AH169" s="2852"/>
      <c r="AI169" s="2852"/>
      <c r="AJ169" s="2852"/>
      <c r="AK169" s="3538"/>
      <c r="AL169" s="2852"/>
      <c r="AM169" s="3400"/>
      <c r="AN169" s="3400"/>
      <c r="AO169" s="2206"/>
    </row>
    <row r="170" spans="1:41" ht="60" customHeight="1" x14ac:dyDescent="0.25">
      <c r="A170" s="114"/>
      <c r="B170" s="4"/>
      <c r="C170" s="4"/>
      <c r="D170" s="2859"/>
      <c r="E170" s="3419"/>
      <c r="F170" s="115"/>
      <c r="G170" s="3500"/>
      <c r="H170" s="3502"/>
      <c r="I170" s="3444"/>
      <c r="J170" s="2267"/>
      <c r="K170" s="2323"/>
      <c r="L170" s="2323"/>
      <c r="M170" s="2206"/>
      <c r="N170" s="2247"/>
      <c r="O170" s="3534"/>
      <c r="P170" s="3536"/>
      <c r="Q170" s="2247"/>
      <c r="R170" s="2574"/>
      <c r="S170" s="1066" t="s">
        <v>912</v>
      </c>
      <c r="T170" s="984">
        <v>4480000</v>
      </c>
      <c r="U170" s="934">
        <v>20</v>
      </c>
      <c r="V170" s="1986" t="s">
        <v>70</v>
      </c>
      <c r="W170" s="2204"/>
      <c r="X170" s="2206"/>
      <c r="Y170" s="2852"/>
      <c r="Z170" s="2852"/>
      <c r="AA170" s="2852"/>
      <c r="AB170" s="2852"/>
      <c r="AC170" s="2852"/>
      <c r="AD170" s="2852"/>
      <c r="AE170" s="2852"/>
      <c r="AF170" s="2852"/>
      <c r="AG170" s="2852"/>
      <c r="AH170" s="2852"/>
      <c r="AI170" s="2852"/>
      <c r="AJ170" s="2852"/>
      <c r="AK170" s="3538"/>
      <c r="AL170" s="2852"/>
      <c r="AM170" s="3400"/>
      <c r="AN170" s="3400"/>
      <c r="AO170" s="2206"/>
    </row>
    <row r="171" spans="1:41" ht="90" x14ac:dyDescent="0.25">
      <c r="A171" s="114"/>
      <c r="B171" s="4"/>
      <c r="C171" s="4"/>
      <c r="D171" s="2859"/>
      <c r="E171" s="3419"/>
      <c r="F171" s="115"/>
      <c r="G171" s="3500"/>
      <c r="H171" s="3502"/>
      <c r="I171" s="3444"/>
      <c r="J171" s="2267"/>
      <c r="K171" s="2323"/>
      <c r="L171" s="2323"/>
      <c r="M171" s="2206"/>
      <c r="N171" s="2247"/>
      <c r="O171" s="3534"/>
      <c r="P171" s="3536"/>
      <c r="Q171" s="2247"/>
      <c r="R171" s="2574"/>
      <c r="S171" s="1066" t="s">
        <v>913</v>
      </c>
      <c r="T171" s="984">
        <v>2240000</v>
      </c>
      <c r="U171" s="934">
        <v>20</v>
      </c>
      <c r="V171" s="1986" t="s">
        <v>70</v>
      </c>
      <c r="W171" s="2204"/>
      <c r="X171" s="2206"/>
      <c r="Y171" s="2852"/>
      <c r="Z171" s="2852"/>
      <c r="AA171" s="2852"/>
      <c r="AB171" s="2852"/>
      <c r="AC171" s="2852"/>
      <c r="AD171" s="2852"/>
      <c r="AE171" s="2852"/>
      <c r="AF171" s="2852"/>
      <c r="AG171" s="2852"/>
      <c r="AH171" s="2852"/>
      <c r="AI171" s="2852"/>
      <c r="AJ171" s="2852"/>
      <c r="AK171" s="3538"/>
      <c r="AL171" s="2852"/>
      <c r="AM171" s="3400"/>
      <c r="AN171" s="3400"/>
      <c r="AO171" s="2206"/>
    </row>
    <row r="172" spans="1:41" ht="67.5" customHeight="1" x14ac:dyDescent="0.25">
      <c r="A172" s="114"/>
      <c r="B172" s="4"/>
      <c r="C172" s="4"/>
      <c r="D172" s="2859"/>
      <c r="E172" s="3419"/>
      <c r="F172" s="115"/>
      <c r="G172" s="3500"/>
      <c r="H172" s="3502"/>
      <c r="I172" s="3444"/>
      <c r="J172" s="2267"/>
      <c r="K172" s="2323"/>
      <c r="L172" s="2323"/>
      <c r="M172" s="2206"/>
      <c r="N172" s="2247"/>
      <c r="O172" s="3534"/>
      <c r="P172" s="3536"/>
      <c r="Q172" s="2247"/>
      <c r="R172" s="2574"/>
      <c r="S172" s="1067" t="s">
        <v>914</v>
      </c>
      <c r="T172" s="984">
        <v>2240000</v>
      </c>
      <c r="U172" s="934">
        <v>20</v>
      </c>
      <c r="V172" s="1986" t="s">
        <v>70</v>
      </c>
      <c r="W172" s="2206"/>
      <c r="X172" s="2206"/>
      <c r="Y172" s="2852"/>
      <c r="Z172" s="2852"/>
      <c r="AA172" s="2852"/>
      <c r="AB172" s="2852"/>
      <c r="AC172" s="2852"/>
      <c r="AD172" s="2852"/>
      <c r="AE172" s="2852"/>
      <c r="AF172" s="2852"/>
      <c r="AG172" s="2852"/>
      <c r="AH172" s="2852"/>
      <c r="AI172" s="2852"/>
      <c r="AJ172" s="2852"/>
      <c r="AK172" s="3538"/>
      <c r="AL172" s="2852"/>
      <c r="AM172" s="3400"/>
      <c r="AN172" s="3400"/>
      <c r="AO172" s="2206"/>
    </row>
    <row r="173" spans="1:41" ht="60" x14ac:dyDescent="0.25">
      <c r="A173" s="114"/>
      <c r="B173" s="4"/>
      <c r="C173" s="4"/>
      <c r="D173" s="2859"/>
      <c r="E173" s="3419"/>
      <c r="F173" s="115"/>
      <c r="G173" s="3500"/>
      <c r="H173" s="3502"/>
      <c r="I173" s="3444"/>
      <c r="J173" s="2267"/>
      <c r="K173" s="2323"/>
      <c r="L173" s="2323"/>
      <c r="M173" s="2206"/>
      <c r="N173" s="2247"/>
      <c r="O173" s="3534"/>
      <c r="P173" s="3536"/>
      <c r="Q173" s="2247"/>
      <c r="R173" s="2574"/>
      <c r="S173" s="1064" t="s">
        <v>915</v>
      </c>
      <c r="T173" s="984">
        <v>2240000</v>
      </c>
      <c r="U173" s="934">
        <v>20</v>
      </c>
      <c r="V173" s="1986" t="s">
        <v>70</v>
      </c>
      <c r="W173" s="2206"/>
      <c r="X173" s="2206"/>
      <c r="Y173" s="2852"/>
      <c r="Z173" s="2852"/>
      <c r="AA173" s="2852"/>
      <c r="AB173" s="2852"/>
      <c r="AC173" s="2852"/>
      <c r="AD173" s="2852"/>
      <c r="AE173" s="2852"/>
      <c r="AF173" s="2852"/>
      <c r="AG173" s="2852"/>
      <c r="AH173" s="2852"/>
      <c r="AI173" s="2852"/>
      <c r="AJ173" s="2852"/>
      <c r="AK173" s="3538"/>
      <c r="AL173" s="2852"/>
      <c r="AM173" s="3400"/>
      <c r="AN173" s="3400"/>
      <c r="AO173" s="2206"/>
    </row>
    <row r="174" spans="1:41" ht="57" customHeight="1" x14ac:dyDescent="0.25">
      <c r="A174" s="114"/>
      <c r="B174" s="4"/>
      <c r="C174" s="4"/>
      <c r="D174" s="2859"/>
      <c r="E174" s="3419"/>
      <c r="F174" s="115"/>
      <c r="G174" s="3500"/>
      <c r="H174" s="3502"/>
      <c r="I174" s="3444"/>
      <c r="J174" s="2267"/>
      <c r="K174" s="2323"/>
      <c r="L174" s="2323"/>
      <c r="M174" s="2206"/>
      <c r="N174" s="2247"/>
      <c r="O174" s="3534"/>
      <c r="P174" s="3536"/>
      <c r="Q174" s="2247"/>
      <c r="R174" s="2574"/>
      <c r="S174" s="1064" t="s">
        <v>831</v>
      </c>
      <c r="T174" s="984">
        <v>6720000</v>
      </c>
      <c r="U174" s="934">
        <v>20</v>
      </c>
      <c r="V174" s="1986" t="s">
        <v>70</v>
      </c>
      <c r="W174" s="2206"/>
      <c r="X174" s="2206"/>
      <c r="Y174" s="2852"/>
      <c r="Z174" s="2852"/>
      <c r="AA174" s="2852"/>
      <c r="AB174" s="2852"/>
      <c r="AC174" s="2852"/>
      <c r="AD174" s="2852"/>
      <c r="AE174" s="2852"/>
      <c r="AF174" s="2852"/>
      <c r="AG174" s="2852"/>
      <c r="AH174" s="2852"/>
      <c r="AI174" s="2852"/>
      <c r="AJ174" s="2852"/>
      <c r="AK174" s="3538"/>
      <c r="AL174" s="2852"/>
      <c r="AM174" s="3400"/>
      <c r="AN174" s="3400"/>
      <c r="AO174" s="2206"/>
    </row>
    <row r="175" spans="1:41" ht="40.5" customHeight="1" x14ac:dyDescent="0.25">
      <c r="A175" s="114"/>
      <c r="B175" s="4"/>
      <c r="C175" s="4"/>
      <c r="D175" s="2859"/>
      <c r="E175" s="3419"/>
      <c r="F175" s="115"/>
      <c r="G175" s="3500"/>
      <c r="H175" s="3502"/>
      <c r="I175" s="3444"/>
      <c r="J175" s="2267"/>
      <c r="K175" s="2323"/>
      <c r="L175" s="2323"/>
      <c r="M175" s="2206"/>
      <c r="N175" s="2247"/>
      <c r="O175" s="3534"/>
      <c r="P175" s="3536"/>
      <c r="Q175" s="2247"/>
      <c r="R175" s="2574"/>
      <c r="S175" s="1064" t="s">
        <v>832</v>
      </c>
      <c r="T175" s="1063">
        <v>1120000</v>
      </c>
      <c r="U175" s="934">
        <v>20</v>
      </c>
      <c r="V175" s="1986" t="s">
        <v>70</v>
      </c>
      <c r="W175" s="2206"/>
      <c r="X175" s="2206"/>
      <c r="Y175" s="2852"/>
      <c r="Z175" s="2852"/>
      <c r="AA175" s="2852"/>
      <c r="AB175" s="2852"/>
      <c r="AC175" s="2852"/>
      <c r="AD175" s="2852"/>
      <c r="AE175" s="2852"/>
      <c r="AF175" s="2852"/>
      <c r="AG175" s="2852"/>
      <c r="AH175" s="2852"/>
      <c r="AI175" s="2852"/>
      <c r="AJ175" s="2852"/>
      <c r="AK175" s="3538"/>
      <c r="AL175" s="2852"/>
      <c r="AM175" s="3400"/>
      <c r="AN175" s="3400"/>
      <c r="AO175" s="2206"/>
    </row>
    <row r="176" spans="1:41" ht="50.25" customHeight="1" x14ac:dyDescent="0.25">
      <c r="A176" s="114"/>
      <c r="B176" s="4"/>
      <c r="C176" s="4"/>
      <c r="D176" s="2859"/>
      <c r="E176" s="3419"/>
      <c r="F176" s="115"/>
      <c r="G176" s="3500"/>
      <c r="H176" s="3502"/>
      <c r="I176" s="3444"/>
      <c r="J176" s="2267"/>
      <c r="K176" s="2323"/>
      <c r="L176" s="2323"/>
      <c r="M176" s="2206"/>
      <c r="N176" s="2247"/>
      <c r="O176" s="3534"/>
      <c r="P176" s="3536"/>
      <c r="Q176" s="2247"/>
      <c r="R176" s="2574"/>
      <c r="S176" s="1064" t="s">
        <v>916</v>
      </c>
      <c r="T176" s="984">
        <v>5600000</v>
      </c>
      <c r="U176" s="934">
        <v>20</v>
      </c>
      <c r="V176" s="1986" t="s">
        <v>70</v>
      </c>
      <c r="W176" s="2206"/>
      <c r="X176" s="2206"/>
      <c r="Y176" s="2852"/>
      <c r="Z176" s="2852"/>
      <c r="AA176" s="2852"/>
      <c r="AB176" s="2852"/>
      <c r="AC176" s="2852"/>
      <c r="AD176" s="2852"/>
      <c r="AE176" s="2852"/>
      <c r="AF176" s="2852"/>
      <c r="AG176" s="2852"/>
      <c r="AH176" s="2852"/>
      <c r="AI176" s="2852"/>
      <c r="AJ176" s="2852"/>
      <c r="AK176" s="3538"/>
      <c r="AL176" s="2852"/>
      <c r="AM176" s="3400"/>
      <c r="AN176" s="3400"/>
      <c r="AO176" s="2206"/>
    </row>
    <row r="177" spans="1:42" ht="58.5" customHeight="1" x14ac:dyDescent="0.25">
      <c r="A177" s="114"/>
      <c r="B177" s="4"/>
      <c r="C177" s="4"/>
      <c r="D177" s="3437"/>
      <c r="E177" s="3438"/>
      <c r="F177" s="249"/>
      <c r="G177" s="3500"/>
      <c r="H177" s="3502"/>
      <c r="I177" s="3444"/>
      <c r="J177" s="2267"/>
      <c r="K177" s="2323"/>
      <c r="L177" s="2323"/>
      <c r="M177" s="2206"/>
      <c r="N177" s="2247"/>
      <c r="O177" s="3534"/>
      <c r="P177" s="3536"/>
      <c r="Q177" s="2247"/>
      <c r="R177" s="3537"/>
      <c r="S177" s="1064" t="s">
        <v>833</v>
      </c>
      <c r="T177" s="984">
        <v>3360000</v>
      </c>
      <c r="U177" s="934">
        <v>20</v>
      </c>
      <c r="V177" s="1986" t="s">
        <v>70</v>
      </c>
      <c r="W177" s="2206"/>
      <c r="X177" s="2206"/>
      <c r="Y177" s="2852"/>
      <c r="Z177" s="2852"/>
      <c r="AA177" s="2852"/>
      <c r="AB177" s="2852"/>
      <c r="AC177" s="2852"/>
      <c r="AD177" s="2852"/>
      <c r="AE177" s="2852"/>
      <c r="AF177" s="2852"/>
      <c r="AG177" s="2852"/>
      <c r="AH177" s="2852"/>
      <c r="AI177" s="2852"/>
      <c r="AJ177" s="2852"/>
      <c r="AK177" s="3538"/>
      <c r="AL177" s="2852"/>
      <c r="AM177" s="3400"/>
      <c r="AN177" s="3400"/>
      <c r="AO177" s="2206"/>
    </row>
    <row r="178" spans="1:42" ht="25.5" customHeight="1" x14ac:dyDescent="0.25">
      <c r="A178" s="114"/>
      <c r="B178" s="4"/>
      <c r="C178" s="4"/>
      <c r="D178" s="1003">
        <v>41</v>
      </c>
      <c r="E178" s="1004" t="s">
        <v>917</v>
      </c>
      <c r="F178" s="1005"/>
      <c r="G178" s="1007"/>
      <c r="H178" s="1007"/>
      <c r="I178" s="1008"/>
      <c r="J178" s="1008"/>
      <c r="K178" s="1031"/>
      <c r="L178" s="1007"/>
      <c r="M178" s="1032"/>
      <c r="N178" s="1008"/>
      <c r="O178" s="1010"/>
      <c r="P178" s="1011"/>
      <c r="Q178" s="1008"/>
      <c r="R178" s="1068"/>
      <c r="S178" s="1008"/>
      <c r="T178" s="1012"/>
      <c r="U178" s="1013"/>
      <c r="V178" s="1014"/>
      <c r="W178" s="1015"/>
      <c r="X178" s="1015"/>
      <c r="Y178" s="1015"/>
      <c r="Z178" s="1015"/>
      <c r="AA178" s="1015"/>
      <c r="AB178" s="1015"/>
      <c r="AC178" s="1015"/>
      <c r="AD178" s="1015"/>
      <c r="AE178" s="1015"/>
      <c r="AF178" s="1015"/>
      <c r="AG178" s="1015"/>
      <c r="AH178" s="1015"/>
      <c r="AI178" s="1015"/>
      <c r="AJ178" s="1015"/>
      <c r="AK178" s="1015"/>
      <c r="AL178" s="1015"/>
      <c r="AM178" s="1015"/>
      <c r="AN178" s="1015"/>
      <c r="AO178" s="1007"/>
    </row>
    <row r="179" spans="1:42" s="755" customFormat="1" ht="107.25" customHeight="1" x14ac:dyDescent="0.25">
      <c r="A179" s="989"/>
      <c r="B179" s="58"/>
      <c r="C179" s="58"/>
      <c r="D179" s="309"/>
      <c r="E179" s="225"/>
      <c r="F179" s="310"/>
      <c r="G179" s="3486">
        <v>4501024</v>
      </c>
      <c r="H179" s="2614">
        <v>41.2</v>
      </c>
      <c r="I179" s="2397" t="s">
        <v>918</v>
      </c>
      <c r="J179" s="2982" t="s">
        <v>919</v>
      </c>
      <c r="K179" s="2836">
        <v>1</v>
      </c>
      <c r="L179" s="2836" t="s">
        <v>920</v>
      </c>
      <c r="M179" s="3101" t="s">
        <v>921</v>
      </c>
      <c r="N179" s="3017" t="s">
        <v>922</v>
      </c>
      <c r="O179" s="3433">
        <f>SUM(T179:T180)/(P193+P179)</f>
        <v>0.72727272727272729</v>
      </c>
      <c r="P179" s="3542">
        <v>40000000</v>
      </c>
      <c r="Q179" s="3017" t="s">
        <v>923</v>
      </c>
      <c r="R179" s="3017" t="s">
        <v>924</v>
      </c>
      <c r="S179" s="3017" t="s">
        <v>918</v>
      </c>
      <c r="T179" s="1019">
        <v>25000000</v>
      </c>
      <c r="U179" s="934">
        <v>20</v>
      </c>
      <c r="V179" s="1986" t="s">
        <v>70</v>
      </c>
      <c r="W179" s="3539">
        <v>295972</v>
      </c>
      <c r="X179" s="3539">
        <v>285580</v>
      </c>
      <c r="Y179" s="3539">
        <v>135545</v>
      </c>
      <c r="Z179" s="3540">
        <v>44254</v>
      </c>
      <c r="AA179" s="3540">
        <v>309146</v>
      </c>
      <c r="AB179" s="3540">
        <v>92607</v>
      </c>
      <c r="AC179" s="3540">
        <v>2145</v>
      </c>
      <c r="AD179" s="3540">
        <v>12718</v>
      </c>
      <c r="AE179" s="3540">
        <v>26</v>
      </c>
      <c r="AF179" s="3540">
        <v>37</v>
      </c>
      <c r="AG179" s="3540">
        <v>0</v>
      </c>
      <c r="AH179" s="3540">
        <v>0</v>
      </c>
      <c r="AI179" s="3540">
        <v>44350</v>
      </c>
      <c r="AJ179" s="3540">
        <v>21944</v>
      </c>
      <c r="AK179" s="3540">
        <v>75687</v>
      </c>
      <c r="AL179" s="3540">
        <v>581552</v>
      </c>
      <c r="AM179" s="3494">
        <v>44033</v>
      </c>
      <c r="AN179" s="3494">
        <v>44195</v>
      </c>
      <c r="AO179" s="2601" t="s">
        <v>652</v>
      </c>
    </row>
    <row r="180" spans="1:42" s="755" customFormat="1" ht="107.25" customHeight="1" x14ac:dyDescent="0.25">
      <c r="A180" s="989"/>
      <c r="B180" s="58"/>
      <c r="C180" s="58"/>
      <c r="D180" s="314"/>
      <c r="E180" s="58"/>
      <c r="F180" s="315"/>
      <c r="G180" s="3488"/>
      <c r="H180" s="2616"/>
      <c r="I180" s="2819"/>
      <c r="J180" s="2879"/>
      <c r="K180" s="2836"/>
      <c r="L180" s="2836"/>
      <c r="M180" s="3101"/>
      <c r="N180" s="3017"/>
      <c r="O180" s="3433"/>
      <c r="P180" s="3542"/>
      <c r="Q180" s="3017"/>
      <c r="R180" s="3017"/>
      <c r="S180" s="3017"/>
      <c r="T180" s="1019">
        <v>15000000</v>
      </c>
      <c r="U180" s="997">
        <v>88</v>
      </c>
      <c r="V180" s="1986" t="s">
        <v>227</v>
      </c>
      <c r="W180" s="3539"/>
      <c r="X180" s="3539"/>
      <c r="Y180" s="3539"/>
      <c r="Z180" s="3541"/>
      <c r="AA180" s="3541"/>
      <c r="AB180" s="3541"/>
      <c r="AC180" s="3541"/>
      <c r="AD180" s="3541"/>
      <c r="AE180" s="3541"/>
      <c r="AF180" s="3541"/>
      <c r="AG180" s="3541"/>
      <c r="AH180" s="3541"/>
      <c r="AI180" s="3541"/>
      <c r="AJ180" s="3541"/>
      <c r="AK180" s="3541"/>
      <c r="AL180" s="3541"/>
      <c r="AM180" s="3543"/>
      <c r="AN180" s="3543"/>
      <c r="AO180" s="2603"/>
    </row>
    <row r="181" spans="1:42" ht="65.25" customHeight="1" x14ac:dyDescent="0.25">
      <c r="A181" s="114"/>
      <c r="B181" s="4"/>
      <c r="C181" s="4"/>
      <c r="D181" s="2859"/>
      <c r="E181" s="3419"/>
      <c r="F181" s="2861"/>
      <c r="G181" s="2586">
        <v>4501024</v>
      </c>
      <c r="H181" s="3546">
        <v>41.2</v>
      </c>
      <c r="I181" s="2320" t="s">
        <v>918</v>
      </c>
      <c r="J181" s="2442" t="s">
        <v>926</v>
      </c>
      <c r="K181" s="3544">
        <v>1</v>
      </c>
      <c r="L181" s="2307" t="s">
        <v>927</v>
      </c>
      <c r="M181" s="2205" t="s">
        <v>928</v>
      </c>
      <c r="N181" s="2320" t="s">
        <v>929</v>
      </c>
      <c r="O181" s="3545">
        <v>1</v>
      </c>
      <c r="P181" s="3554">
        <v>40000000</v>
      </c>
      <c r="Q181" s="2320" t="s">
        <v>930</v>
      </c>
      <c r="R181" s="2207" t="s">
        <v>931</v>
      </c>
      <c r="S181" s="769" t="s">
        <v>932</v>
      </c>
      <c r="T181" s="1069">
        <v>12297635</v>
      </c>
      <c r="U181" s="1070">
        <v>88</v>
      </c>
      <c r="V181" s="1986" t="s">
        <v>227</v>
      </c>
      <c r="W181" s="3440">
        <v>2000</v>
      </c>
      <c r="X181" s="3440">
        <v>0</v>
      </c>
      <c r="Y181" s="3440">
        <v>0</v>
      </c>
      <c r="Z181" s="3440">
        <v>250</v>
      </c>
      <c r="AA181" s="3440">
        <v>500</v>
      </c>
      <c r="AB181" s="3440">
        <v>300</v>
      </c>
      <c r="AC181" s="3440">
        <v>20</v>
      </c>
      <c r="AD181" s="3440">
        <v>20</v>
      </c>
      <c r="AE181" s="3440">
        <v>20</v>
      </c>
      <c r="AF181" s="3440">
        <v>20</v>
      </c>
      <c r="AG181" s="3440">
        <v>20</v>
      </c>
      <c r="AH181" s="3440">
        <v>20</v>
      </c>
      <c r="AI181" s="3440">
        <v>20</v>
      </c>
      <c r="AJ181" s="3440">
        <v>200</v>
      </c>
      <c r="AK181" s="3440">
        <v>610</v>
      </c>
      <c r="AL181" s="3440">
        <v>2000</v>
      </c>
      <c r="AM181" s="3399">
        <v>44033</v>
      </c>
      <c r="AN181" s="3399">
        <v>44195</v>
      </c>
      <c r="AO181" s="2205" t="s">
        <v>652</v>
      </c>
    </row>
    <row r="182" spans="1:42" ht="59.25" customHeight="1" x14ac:dyDescent="0.25">
      <c r="A182" s="114"/>
      <c r="B182" s="4"/>
      <c r="C182" s="4"/>
      <c r="D182" s="2859"/>
      <c r="E182" s="3419"/>
      <c r="F182" s="2861"/>
      <c r="G182" s="2586"/>
      <c r="H182" s="3547"/>
      <c r="I182" s="2247"/>
      <c r="J182" s="2267"/>
      <c r="K182" s="2351"/>
      <c r="L182" s="2323"/>
      <c r="M182" s="2206"/>
      <c r="N182" s="2247"/>
      <c r="O182" s="3127"/>
      <c r="P182" s="3555"/>
      <c r="Q182" s="2247"/>
      <c r="R182" s="2208"/>
      <c r="S182" s="775" t="s">
        <v>933</v>
      </c>
      <c r="T182" s="1071">
        <v>27702365</v>
      </c>
      <c r="U182" s="934">
        <v>20</v>
      </c>
      <c r="V182" s="1986" t="s">
        <v>70</v>
      </c>
      <c r="W182" s="2963"/>
      <c r="X182" s="2963"/>
      <c r="Y182" s="2963"/>
      <c r="Z182" s="2963"/>
      <c r="AA182" s="2963"/>
      <c r="AB182" s="2963"/>
      <c r="AC182" s="2963"/>
      <c r="AD182" s="2963"/>
      <c r="AE182" s="2963"/>
      <c r="AF182" s="2963"/>
      <c r="AG182" s="2963"/>
      <c r="AH182" s="2963"/>
      <c r="AI182" s="2963"/>
      <c r="AJ182" s="2963"/>
      <c r="AK182" s="2963"/>
      <c r="AL182" s="2963"/>
      <c r="AM182" s="3400"/>
      <c r="AN182" s="3400"/>
      <c r="AO182" s="2206"/>
    </row>
    <row r="183" spans="1:42" ht="62.25" customHeight="1" x14ac:dyDescent="0.25">
      <c r="A183" s="114"/>
      <c r="B183" s="4"/>
      <c r="C183" s="4"/>
      <c r="D183" s="2859"/>
      <c r="E183" s="3419"/>
      <c r="F183" s="2861"/>
      <c r="G183" s="2586"/>
      <c r="H183" s="3547"/>
      <c r="I183" s="2247"/>
      <c r="J183" s="2267"/>
      <c r="K183" s="2351"/>
      <c r="L183" s="2323"/>
      <c r="M183" s="2206"/>
      <c r="N183" s="2247"/>
      <c r="O183" s="3127"/>
      <c r="P183" s="3555"/>
      <c r="Q183" s="2247"/>
      <c r="R183" s="2208"/>
      <c r="S183" s="775" t="s">
        <v>934</v>
      </c>
      <c r="T183" s="1071">
        <v>0</v>
      </c>
      <c r="U183" s="1072"/>
      <c r="V183" s="935"/>
      <c r="W183" s="2963"/>
      <c r="X183" s="2963"/>
      <c r="Y183" s="2963"/>
      <c r="Z183" s="2963"/>
      <c r="AA183" s="2963"/>
      <c r="AB183" s="2963"/>
      <c r="AC183" s="2963"/>
      <c r="AD183" s="2963"/>
      <c r="AE183" s="2963"/>
      <c r="AF183" s="2963"/>
      <c r="AG183" s="2963"/>
      <c r="AH183" s="2963"/>
      <c r="AI183" s="2963"/>
      <c r="AJ183" s="2963"/>
      <c r="AK183" s="2963"/>
      <c r="AL183" s="2963"/>
      <c r="AM183" s="3400"/>
      <c r="AN183" s="3400"/>
      <c r="AO183" s="2206"/>
    </row>
    <row r="184" spans="1:42" ht="62.25" customHeight="1" x14ac:dyDescent="0.25">
      <c r="A184" s="114"/>
      <c r="B184" s="162"/>
      <c r="C184" s="4"/>
      <c r="D184" s="3437"/>
      <c r="E184" s="3438"/>
      <c r="F184" s="3439"/>
      <c r="G184" s="2587"/>
      <c r="H184" s="3547"/>
      <c r="I184" s="2247"/>
      <c r="J184" s="2267"/>
      <c r="K184" s="2345"/>
      <c r="L184" s="2323"/>
      <c r="M184" s="2206"/>
      <c r="N184" s="2247"/>
      <c r="O184" s="3127"/>
      <c r="P184" s="3555"/>
      <c r="Q184" s="2247"/>
      <c r="R184" s="2208"/>
      <c r="S184" s="775" t="s">
        <v>935</v>
      </c>
      <c r="T184" s="1071">
        <v>0</v>
      </c>
      <c r="U184" s="1072"/>
      <c r="V184" s="935"/>
      <c r="W184" s="2963"/>
      <c r="X184" s="2963"/>
      <c r="Y184" s="2963"/>
      <c r="Z184" s="2963"/>
      <c r="AA184" s="2963"/>
      <c r="AB184" s="2963"/>
      <c r="AC184" s="2963"/>
      <c r="AD184" s="2963"/>
      <c r="AE184" s="2963"/>
      <c r="AF184" s="2963"/>
      <c r="AG184" s="2963"/>
      <c r="AH184" s="2963"/>
      <c r="AI184" s="2963"/>
      <c r="AJ184" s="2963"/>
      <c r="AK184" s="2963"/>
      <c r="AL184" s="2963"/>
      <c r="AM184" s="3400"/>
      <c r="AN184" s="3400"/>
      <c r="AO184" s="2206"/>
    </row>
    <row r="185" spans="1:42" ht="15.75" x14ac:dyDescent="0.25">
      <c r="A185" s="918">
        <v>2</v>
      </c>
      <c r="B185" s="919" t="s">
        <v>326</v>
      </c>
      <c r="C185" s="292"/>
      <c r="D185" s="1073"/>
      <c r="E185" s="833"/>
      <c r="F185" s="1073"/>
      <c r="G185" s="1074"/>
      <c r="H185" s="1074"/>
      <c r="I185" s="1073"/>
      <c r="J185" s="1073"/>
      <c r="K185" s="1075"/>
      <c r="L185" s="1074"/>
      <c r="M185" s="1076"/>
      <c r="N185" s="1073"/>
      <c r="O185" s="1077"/>
      <c r="P185" s="1078"/>
      <c r="Q185" s="1073"/>
      <c r="R185" s="1073"/>
      <c r="S185" s="1073"/>
      <c r="T185" s="1079"/>
      <c r="U185" s="1080"/>
      <c r="V185" s="1081"/>
      <c r="W185" s="1076"/>
      <c r="X185" s="1076"/>
      <c r="Y185" s="1076"/>
      <c r="Z185" s="1076"/>
      <c r="AA185" s="1076"/>
      <c r="AB185" s="1076"/>
      <c r="AC185" s="1076"/>
      <c r="AD185" s="1076"/>
      <c r="AE185" s="1076"/>
      <c r="AF185" s="1076"/>
      <c r="AG185" s="1076"/>
      <c r="AH185" s="1076"/>
      <c r="AI185" s="1076"/>
      <c r="AJ185" s="1076"/>
      <c r="AK185" s="1076"/>
      <c r="AL185" s="1076"/>
      <c r="AM185" s="1076"/>
      <c r="AN185" s="1076"/>
      <c r="AO185" s="1074"/>
    </row>
    <row r="186" spans="1:42" ht="21.75" customHeight="1" x14ac:dyDescent="0.25">
      <c r="A186" s="114"/>
      <c r="B186" s="4"/>
      <c r="C186" s="4"/>
      <c r="D186" s="1082">
        <v>29</v>
      </c>
      <c r="E186" s="1083" t="s">
        <v>936</v>
      </c>
      <c r="F186" s="1084"/>
      <c r="G186" s="953"/>
      <c r="H186" s="953"/>
      <c r="I186" s="954"/>
      <c r="J186" s="954"/>
      <c r="K186" s="1084"/>
      <c r="L186" s="953"/>
      <c r="M186" s="1085"/>
      <c r="N186" s="1086"/>
      <c r="O186" s="1087"/>
      <c r="P186" s="1088"/>
      <c r="Q186" s="1086"/>
      <c r="R186" s="954"/>
      <c r="S186" s="954"/>
      <c r="T186" s="1089"/>
      <c r="U186" s="1090"/>
      <c r="V186" s="1091"/>
      <c r="W186" s="1085"/>
      <c r="X186" s="1085"/>
      <c r="Y186" s="1085"/>
      <c r="Z186" s="1085"/>
      <c r="AA186" s="1085"/>
      <c r="AB186" s="1085"/>
      <c r="AC186" s="1085"/>
      <c r="AD186" s="1085"/>
      <c r="AE186" s="1085"/>
      <c r="AF186" s="1085"/>
      <c r="AG186" s="1085"/>
      <c r="AH186" s="1085"/>
      <c r="AI186" s="1085"/>
      <c r="AJ186" s="1085"/>
      <c r="AK186" s="1085"/>
      <c r="AL186" s="1085"/>
      <c r="AM186" s="1092"/>
      <c r="AN186" s="1092"/>
      <c r="AO186" s="1093"/>
      <c r="AP186" s="4"/>
    </row>
    <row r="187" spans="1:42" ht="80.25" customHeight="1" x14ac:dyDescent="0.25">
      <c r="A187" s="114"/>
      <c r="B187" s="4"/>
      <c r="C187" s="4"/>
      <c r="D187" s="3548"/>
      <c r="E187" s="1094"/>
      <c r="F187" s="3549"/>
      <c r="G187" s="3550">
        <v>3604006</v>
      </c>
      <c r="H187" s="3553">
        <v>29.1</v>
      </c>
      <c r="I187" s="2208" t="s">
        <v>937</v>
      </c>
      <c r="J187" s="2267" t="s">
        <v>938</v>
      </c>
      <c r="K187" s="2323">
        <v>50</v>
      </c>
      <c r="L187" s="2427" t="s">
        <v>750</v>
      </c>
      <c r="M187" s="2301" t="s">
        <v>751</v>
      </c>
      <c r="N187" s="3444" t="s">
        <v>939</v>
      </c>
      <c r="O187" s="3127">
        <f>(T187+T190+T189)/(P75+P187)</f>
        <v>0.3125</v>
      </c>
      <c r="P187" s="3557">
        <v>25000000</v>
      </c>
      <c r="Q187" s="3444" t="s">
        <v>753</v>
      </c>
      <c r="R187" s="2208" t="s">
        <v>754</v>
      </c>
      <c r="S187" s="757" t="s">
        <v>940</v>
      </c>
      <c r="T187" s="1095">
        <v>18000000</v>
      </c>
      <c r="U187" s="1041">
        <v>88</v>
      </c>
      <c r="V187" s="1986" t="s">
        <v>227</v>
      </c>
      <c r="W187" s="3461">
        <v>2080</v>
      </c>
      <c r="X187" s="3461">
        <v>1920</v>
      </c>
      <c r="Y187" s="3461">
        <v>2500</v>
      </c>
      <c r="Z187" s="3461">
        <v>1500</v>
      </c>
      <c r="AA187" s="3461">
        <v>0</v>
      </c>
      <c r="AB187" s="2227">
        <v>0</v>
      </c>
      <c r="AC187" s="2227">
        <v>40</v>
      </c>
      <c r="AD187" s="2227">
        <v>40</v>
      </c>
      <c r="AE187" s="2227">
        <v>0</v>
      </c>
      <c r="AF187" s="2227">
        <v>0</v>
      </c>
      <c r="AG187" s="2227">
        <v>0</v>
      </c>
      <c r="AH187" s="2227">
        <v>0</v>
      </c>
      <c r="AI187" s="2227">
        <v>40</v>
      </c>
      <c r="AJ187" s="2227">
        <v>0</v>
      </c>
      <c r="AK187" s="2227">
        <v>0</v>
      </c>
      <c r="AL187" s="3556">
        <v>4000</v>
      </c>
      <c r="AM187" s="3450">
        <v>44033</v>
      </c>
      <c r="AN187" s="3450">
        <v>44195</v>
      </c>
      <c r="AO187" s="2206" t="s">
        <v>652</v>
      </c>
      <c r="AP187" s="4"/>
    </row>
    <row r="188" spans="1:42" ht="67.5" customHeight="1" x14ac:dyDescent="0.25">
      <c r="A188" s="114"/>
      <c r="B188" s="4"/>
      <c r="C188" s="4"/>
      <c r="D188" s="2859"/>
      <c r="E188" s="1096"/>
      <c r="F188" s="2861"/>
      <c r="G188" s="3551"/>
      <c r="H188" s="3553"/>
      <c r="I188" s="2208"/>
      <c r="J188" s="2267"/>
      <c r="K188" s="2323"/>
      <c r="L188" s="2427"/>
      <c r="M188" s="2301"/>
      <c r="N188" s="3444"/>
      <c r="O188" s="3127"/>
      <c r="P188" s="3557"/>
      <c r="Q188" s="3444"/>
      <c r="R188" s="2208"/>
      <c r="S188" s="757" t="s">
        <v>730</v>
      </c>
      <c r="T188" s="1095">
        <v>0</v>
      </c>
      <c r="U188" s="1041">
        <v>88</v>
      </c>
      <c r="V188" s="1986" t="s">
        <v>227</v>
      </c>
      <c r="W188" s="3461"/>
      <c r="X188" s="3461"/>
      <c r="Y188" s="3461"/>
      <c r="Z188" s="3461"/>
      <c r="AA188" s="3461"/>
      <c r="AB188" s="2227"/>
      <c r="AC188" s="2227"/>
      <c r="AD188" s="2227"/>
      <c r="AE188" s="2227"/>
      <c r="AF188" s="2227"/>
      <c r="AG188" s="2227"/>
      <c r="AH188" s="2227"/>
      <c r="AI188" s="2227"/>
      <c r="AJ188" s="2227"/>
      <c r="AK188" s="2227"/>
      <c r="AL188" s="3556"/>
      <c r="AM188" s="3450"/>
      <c r="AN188" s="3450"/>
      <c r="AO188" s="2206"/>
      <c r="AP188" s="4"/>
    </row>
    <row r="189" spans="1:42" ht="80.25" customHeight="1" x14ac:dyDescent="0.25">
      <c r="A189" s="114"/>
      <c r="B189" s="4"/>
      <c r="C189" s="4"/>
      <c r="D189" s="2859"/>
      <c r="E189" s="1096"/>
      <c r="F189" s="2861"/>
      <c r="G189" s="3551"/>
      <c r="H189" s="3553"/>
      <c r="I189" s="2208"/>
      <c r="J189" s="2267"/>
      <c r="K189" s="2323"/>
      <c r="L189" s="2427"/>
      <c r="M189" s="2301"/>
      <c r="N189" s="3444"/>
      <c r="O189" s="3127"/>
      <c r="P189" s="3557"/>
      <c r="Q189" s="3444"/>
      <c r="R189" s="2208"/>
      <c r="S189" s="757" t="s">
        <v>942</v>
      </c>
      <c r="T189" s="1095">
        <v>4000000</v>
      </c>
      <c r="U189" s="1041">
        <v>88</v>
      </c>
      <c r="V189" s="1986" t="s">
        <v>227</v>
      </c>
      <c r="W189" s="3461"/>
      <c r="X189" s="3461"/>
      <c r="Y189" s="3461"/>
      <c r="Z189" s="3461"/>
      <c r="AA189" s="3461"/>
      <c r="AB189" s="2227"/>
      <c r="AC189" s="2227"/>
      <c r="AD189" s="2227"/>
      <c r="AE189" s="2227"/>
      <c r="AF189" s="2227"/>
      <c r="AG189" s="2227"/>
      <c r="AH189" s="2227"/>
      <c r="AI189" s="2227"/>
      <c r="AJ189" s="2227"/>
      <c r="AK189" s="2227"/>
      <c r="AL189" s="3556"/>
      <c r="AM189" s="3450"/>
      <c r="AN189" s="3450"/>
      <c r="AO189" s="2206"/>
      <c r="AP189" s="4"/>
    </row>
    <row r="190" spans="1:42" ht="52.5" customHeight="1" x14ac:dyDescent="0.25">
      <c r="A190" s="114"/>
      <c r="B190" s="4"/>
      <c r="C190" s="4"/>
      <c r="D190" s="3437"/>
      <c r="E190" s="1097"/>
      <c r="F190" s="3439"/>
      <c r="G190" s="3552"/>
      <c r="H190" s="3553"/>
      <c r="I190" s="2208"/>
      <c r="J190" s="2267"/>
      <c r="K190" s="2323"/>
      <c r="L190" s="2427"/>
      <c r="M190" s="2301"/>
      <c r="N190" s="3444"/>
      <c r="O190" s="3127"/>
      <c r="P190" s="3558"/>
      <c r="Q190" s="3444"/>
      <c r="R190" s="2208"/>
      <c r="S190" s="757" t="s">
        <v>943</v>
      </c>
      <c r="T190" s="1095">
        <v>3000000</v>
      </c>
      <c r="U190" s="1041" t="s">
        <v>944</v>
      </c>
      <c r="V190" s="961" t="s">
        <v>941</v>
      </c>
      <c r="W190" s="3461"/>
      <c r="X190" s="3461"/>
      <c r="Y190" s="3461"/>
      <c r="Z190" s="3461"/>
      <c r="AA190" s="3461"/>
      <c r="AB190" s="2227"/>
      <c r="AC190" s="2227"/>
      <c r="AD190" s="2227"/>
      <c r="AE190" s="2227"/>
      <c r="AF190" s="2227"/>
      <c r="AG190" s="2227"/>
      <c r="AH190" s="2227"/>
      <c r="AI190" s="2227"/>
      <c r="AJ190" s="2227"/>
      <c r="AK190" s="2227"/>
      <c r="AL190" s="3556"/>
      <c r="AM190" s="3450"/>
      <c r="AN190" s="3450"/>
      <c r="AO190" s="2206"/>
      <c r="AP190" s="4"/>
    </row>
    <row r="191" spans="1:42" ht="15.75" x14ac:dyDescent="0.25">
      <c r="A191" s="639">
        <v>4</v>
      </c>
      <c r="B191" s="191" t="s">
        <v>267</v>
      </c>
      <c r="C191" s="640"/>
      <c r="D191" s="1073"/>
      <c r="E191" s="833"/>
      <c r="F191" s="1073"/>
      <c r="G191" s="1074"/>
      <c r="H191" s="1074"/>
      <c r="I191" s="1073"/>
      <c r="J191" s="1073"/>
      <c r="K191" s="1073"/>
      <c r="L191" s="1074"/>
      <c r="M191" s="1076"/>
      <c r="N191" s="1073"/>
      <c r="O191" s="1077"/>
      <c r="P191" s="1078"/>
      <c r="Q191" s="1098"/>
      <c r="R191" s="1098"/>
      <c r="S191" s="1073"/>
      <c r="T191" s="1079"/>
      <c r="U191" s="1080"/>
      <c r="V191" s="1081"/>
      <c r="W191" s="1076"/>
      <c r="X191" s="1076"/>
      <c r="Y191" s="1076"/>
      <c r="Z191" s="1076"/>
      <c r="AA191" s="1076"/>
      <c r="AB191" s="1076"/>
      <c r="AC191" s="1076"/>
      <c r="AD191" s="1076"/>
      <c r="AE191" s="1076"/>
      <c r="AF191" s="1076"/>
      <c r="AG191" s="1076"/>
      <c r="AH191" s="1076"/>
      <c r="AI191" s="1076"/>
      <c r="AJ191" s="1076"/>
      <c r="AK191" s="1076"/>
      <c r="AL191" s="1076"/>
      <c r="AM191" s="1076"/>
      <c r="AN191" s="1076"/>
      <c r="AO191" s="1074"/>
      <c r="AP191" s="4"/>
    </row>
    <row r="192" spans="1:42" ht="15.75" x14ac:dyDescent="0.25">
      <c r="A192" s="1099"/>
      <c r="B192" s="1100"/>
      <c r="C192" s="1101"/>
      <c r="D192" s="1082">
        <v>42</v>
      </c>
      <c r="E192" s="1083" t="s">
        <v>51</v>
      </c>
      <c r="F192" s="1084"/>
      <c r="G192" s="1006"/>
      <c r="H192" s="1006"/>
      <c r="I192" s="1068"/>
      <c r="J192" s="1068"/>
      <c r="K192" s="1102"/>
      <c r="L192" s="1006"/>
      <c r="M192" s="1103"/>
      <c r="N192" s="1104"/>
      <c r="O192" s="1105"/>
      <c r="P192" s="1106"/>
      <c r="Q192" s="1104"/>
      <c r="R192" s="1068"/>
      <c r="S192" s="1068"/>
      <c r="T192" s="1107"/>
      <c r="U192" s="1108"/>
      <c r="V192" s="1109"/>
      <c r="W192" s="1103"/>
      <c r="X192" s="1103"/>
      <c r="Y192" s="1103"/>
      <c r="Z192" s="1103"/>
      <c r="AA192" s="1103"/>
      <c r="AB192" s="1103"/>
      <c r="AC192" s="1103"/>
      <c r="AD192" s="1103"/>
      <c r="AE192" s="1103"/>
      <c r="AF192" s="1103"/>
      <c r="AG192" s="1103"/>
      <c r="AH192" s="1103"/>
      <c r="AI192" s="1103"/>
      <c r="AJ192" s="1103"/>
      <c r="AK192" s="1103"/>
      <c r="AL192" s="1103"/>
      <c r="AM192" s="1110"/>
      <c r="AN192" s="1110"/>
      <c r="AO192" s="1111"/>
      <c r="AP192" s="4"/>
    </row>
    <row r="193" spans="1:42" s="755" customFormat="1" ht="112.5" customHeight="1" x14ac:dyDescent="0.25">
      <c r="A193" s="700"/>
      <c r="B193" s="58"/>
      <c r="C193" s="148"/>
      <c r="D193" s="701"/>
      <c r="E193" s="594"/>
      <c r="F193" s="595"/>
      <c r="G193" s="702">
        <v>4502001</v>
      </c>
      <c r="H193" s="1016">
        <v>42.8</v>
      </c>
      <c r="I193" s="806" t="s">
        <v>945</v>
      </c>
      <c r="J193" s="793" t="s">
        <v>946</v>
      </c>
      <c r="K193" s="816">
        <v>1</v>
      </c>
      <c r="L193" s="1682" t="s">
        <v>920</v>
      </c>
      <c r="M193" s="798" t="s">
        <v>921</v>
      </c>
      <c r="N193" s="806" t="s">
        <v>922</v>
      </c>
      <c r="O193" s="817">
        <f>T193/(P193+P179)</f>
        <v>0.27272727272727271</v>
      </c>
      <c r="P193" s="1112">
        <v>15000000</v>
      </c>
      <c r="Q193" s="794" t="s">
        <v>923</v>
      </c>
      <c r="R193" s="806" t="s">
        <v>924</v>
      </c>
      <c r="S193" s="806" t="s">
        <v>945</v>
      </c>
      <c r="T193" s="1019">
        <v>15000000</v>
      </c>
      <c r="U193" s="997">
        <v>88</v>
      </c>
      <c r="V193" s="1986" t="s">
        <v>227</v>
      </c>
      <c r="W193" s="1113">
        <v>295972</v>
      </c>
      <c r="X193" s="1113">
        <v>285580</v>
      </c>
      <c r="Y193" s="1113">
        <v>135545</v>
      </c>
      <c r="Z193" s="1113">
        <v>44254</v>
      </c>
      <c r="AA193" s="1113">
        <v>309146</v>
      </c>
      <c r="AB193" s="1113">
        <v>92607</v>
      </c>
      <c r="AC193" s="1113">
        <v>2145</v>
      </c>
      <c r="AD193" s="1113">
        <v>12718</v>
      </c>
      <c r="AE193" s="1113">
        <v>26</v>
      </c>
      <c r="AF193" s="1113">
        <v>37</v>
      </c>
      <c r="AG193" s="1113">
        <v>0</v>
      </c>
      <c r="AH193" s="1113">
        <v>0</v>
      </c>
      <c r="AI193" s="1113">
        <v>44350</v>
      </c>
      <c r="AJ193" s="1113">
        <v>21944</v>
      </c>
      <c r="AK193" s="1113">
        <v>75687</v>
      </c>
      <c r="AL193" s="1113">
        <v>581552</v>
      </c>
      <c r="AM193" s="1114">
        <v>44033</v>
      </c>
      <c r="AN193" s="1114">
        <v>44195</v>
      </c>
      <c r="AO193" s="792" t="s">
        <v>652</v>
      </c>
      <c r="AP193" s="58"/>
    </row>
    <row r="194" spans="1:42" ht="30.75" customHeight="1" x14ac:dyDescent="0.25">
      <c r="A194" s="323"/>
      <c r="B194" s="247"/>
      <c r="C194" s="249"/>
      <c r="D194" s="247"/>
      <c r="E194" s="247"/>
      <c r="F194" s="249"/>
      <c r="G194" s="1115"/>
      <c r="H194" s="1115"/>
      <c r="I194" s="763"/>
      <c r="J194" s="763"/>
      <c r="K194" s="299"/>
      <c r="L194" s="763"/>
      <c r="M194" s="1116"/>
      <c r="N194" s="763"/>
      <c r="O194" s="817"/>
      <c r="P194" s="1117">
        <f>SUM(P11:P193)</f>
        <v>5933774901.3900003</v>
      </c>
      <c r="Q194" s="1118"/>
      <c r="R194" s="1118"/>
      <c r="S194" s="1119"/>
      <c r="T194" s="1120">
        <f>SUM(T11:T193)</f>
        <v>5933774901.3900003</v>
      </c>
      <c r="U194" s="780"/>
      <c r="V194" s="1118"/>
      <c r="W194" s="118"/>
      <c r="X194" s="118"/>
      <c r="Y194" s="118"/>
      <c r="Z194" s="118"/>
      <c r="AA194" s="118"/>
      <c r="AB194" s="118"/>
      <c r="AC194" s="118"/>
      <c r="AD194" s="118"/>
      <c r="AE194" s="118"/>
      <c r="AF194" s="118"/>
      <c r="AG194" s="118"/>
      <c r="AH194" s="118"/>
      <c r="AI194" s="118"/>
      <c r="AJ194" s="118"/>
      <c r="AK194" s="118"/>
      <c r="AL194" s="118"/>
      <c r="AM194" s="814"/>
      <c r="AN194" s="814"/>
      <c r="AO194" s="118"/>
      <c r="AP194" s="4"/>
    </row>
    <row r="199" spans="1:42" x14ac:dyDescent="0.25">
      <c r="P199" s="1121">
        <f>T194-P194</f>
        <v>0</v>
      </c>
    </row>
  </sheetData>
  <sheetProtection password="A60F" sheet="1" objects="1" scenarios="1"/>
  <autoFilter ref="U1:U199"/>
  <mergeCells count="828">
    <mergeCell ref="AO187:AO190"/>
    <mergeCell ref="AG187:AG190"/>
    <mergeCell ref="AH187:AH190"/>
    <mergeCell ref="AI187:AI190"/>
    <mergeCell ref="AJ187:AJ190"/>
    <mergeCell ref="AK187:AK190"/>
    <mergeCell ref="AL187:AL190"/>
    <mergeCell ref="K187:K190"/>
    <mergeCell ref="L187:L190"/>
    <mergeCell ref="M187:M190"/>
    <mergeCell ref="N187:N190"/>
    <mergeCell ref="O187:O190"/>
    <mergeCell ref="P187:P190"/>
    <mergeCell ref="Q187:Q190"/>
    <mergeCell ref="R187:R190"/>
    <mergeCell ref="W187:W190"/>
    <mergeCell ref="X187:X190"/>
    <mergeCell ref="AL181:AL184"/>
    <mergeCell ref="AM181:AM184"/>
    <mergeCell ref="AN181:AN184"/>
    <mergeCell ref="Y181:Y184"/>
    <mergeCell ref="AA187:AA190"/>
    <mergeCell ref="AB187:AB190"/>
    <mergeCell ref="AC187:AC190"/>
    <mergeCell ref="AD187:AD190"/>
    <mergeCell ref="AE187:AE190"/>
    <mergeCell ref="AF187:AF190"/>
    <mergeCell ref="Y187:Y190"/>
    <mergeCell ref="Z187:Z190"/>
    <mergeCell ref="AM187:AM190"/>
    <mergeCell ref="AN187:AN190"/>
    <mergeCell ref="AO181:AO184"/>
    <mergeCell ref="D187:D190"/>
    <mergeCell ref="F187:F190"/>
    <mergeCell ref="G187:G190"/>
    <mergeCell ref="H187:H190"/>
    <mergeCell ref="I187:I190"/>
    <mergeCell ref="J187:J190"/>
    <mergeCell ref="AF181:AF184"/>
    <mergeCell ref="AG181:AG184"/>
    <mergeCell ref="AH181:AH184"/>
    <mergeCell ref="AI181:AI184"/>
    <mergeCell ref="AJ181:AJ184"/>
    <mergeCell ref="AK181:AK184"/>
    <mergeCell ref="Z181:Z184"/>
    <mergeCell ref="AA181:AA184"/>
    <mergeCell ref="AB181:AB184"/>
    <mergeCell ref="AC181:AC184"/>
    <mergeCell ref="AD181:AD184"/>
    <mergeCell ref="AE181:AE184"/>
    <mergeCell ref="P181:P184"/>
    <mergeCell ref="Q181:Q184"/>
    <mergeCell ref="R181:R184"/>
    <mergeCell ref="W181:W184"/>
    <mergeCell ref="X181:X184"/>
    <mergeCell ref="J181:J184"/>
    <mergeCell ref="K181:K184"/>
    <mergeCell ref="L181:L184"/>
    <mergeCell ref="M181:M184"/>
    <mergeCell ref="N181:N184"/>
    <mergeCell ref="O181:O184"/>
    <mergeCell ref="D181:D184"/>
    <mergeCell ref="E181:E184"/>
    <mergeCell ref="F181:F184"/>
    <mergeCell ref="G181:G184"/>
    <mergeCell ref="H181:H184"/>
    <mergeCell ref="I181:I184"/>
    <mergeCell ref="AJ179:AJ180"/>
    <mergeCell ref="AK179:AK180"/>
    <mergeCell ref="AL179:AL180"/>
    <mergeCell ref="AM179:AM180"/>
    <mergeCell ref="AN179:AN180"/>
    <mergeCell ref="AO179:AO180"/>
    <mergeCell ref="AD179:AD180"/>
    <mergeCell ref="AE179:AE180"/>
    <mergeCell ref="AF179:AF180"/>
    <mergeCell ref="AG179:AG180"/>
    <mergeCell ref="AH179:AH180"/>
    <mergeCell ref="AI179:AI180"/>
    <mergeCell ref="X179:X180"/>
    <mergeCell ref="Y179:Y180"/>
    <mergeCell ref="Z179:Z180"/>
    <mergeCell ref="AA179:AA180"/>
    <mergeCell ref="AB179:AB180"/>
    <mergeCell ref="AC179:AC180"/>
    <mergeCell ref="O179:O180"/>
    <mergeCell ref="P179:P180"/>
    <mergeCell ref="Q179:Q180"/>
    <mergeCell ref="R179:R180"/>
    <mergeCell ref="S179:S180"/>
    <mergeCell ref="W179:W180"/>
    <mergeCell ref="AN160:AN177"/>
    <mergeCell ref="AO160:AO177"/>
    <mergeCell ref="G179:G180"/>
    <mergeCell ref="H179:H180"/>
    <mergeCell ref="I179:I180"/>
    <mergeCell ref="J179:J180"/>
    <mergeCell ref="K179:K180"/>
    <mergeCell ref="L179:L180"/>
    <mergeCell ref="M179:M180"/>
    <mergeCell ref="N179:N180"/>
    <mergeCell ref="AH160:AH177"/>
    <mergeCell ref="AI160:AI177"/>
    <mergeCell ref="AJ160:AJ177"/>
    <mergeCell ref="AK160:AK177"/>
    <mergeCell ref="AL160:AL177"/>
    <mergeCell ref="AM160:AM177"/>
    <mergeCell ref="AB160:AB177"/>
    <mergeCell ref="AC160:AC177"/>
    <mergeCell ref="AD160:AD177"/>
    <mergeCell ref="AE160:AE177"/>
    <mergeCell ref="AF160:AF177"/>
    <mergeCell ref="AG160:AG177"/>
    <mergeCell ref="S160:S161"/>
    <mergeCell ref="W160:W177"/>
    <mergeCell ref="X160:X177"/>
    <mergeCell ref="Y160:Y177"/>
    <mergeCell ref="Z160:Z177"/>
    <mergeCell ref="AA160:AA177"/>
    <mergeCell ref="M160:M177"/>
    <mergeCell ref="N160:N177"/>
    <mergeCell ref="O160:O177"/>
    <mergeCell ref="P160:P177"/>
    <mergeCell ref="Q160:Q177"/>
    <mergeCell ref="R160:R177"/>
    <mergeCell ref="D160:D177"/>
    <mergeCell ref="E160:E177"/>
    <mergeCell ref="G160:G177"/>
    <mergeCell ref="H160:H177"/>
    <mergeCell ref="I160:I177"/>
    <mergeCell ref="J160:J177"/>
    <mergeCell ref="K160:K177"/>
    <mergeCell ref="L160:L177"/>
    <mergeCell ref="H154:H159"/>
    <mergeCell ref="I154:I159"/>
    <mergeCell ref="J154:J159"/>
    <mergeCell ref="K154:K159"/>
    <mergeCell ref="G156:G159"/>
    <mergeCell ref="AO137:AO159"/>
    <mergeCell ref="S138:S139"/>
    <mergeCell ref="G146:G155"/>
    <mergeCell ref="H146:H153"/>
    <mergeCell ref="I146:I153"/>
    <mergeCell ref="J146:J153"/>
    <mergeCell ref="K146:K153"/>
    <mergeCell ref="O146:O153"/>
    <mergeCell ref="S149:S150"/>
    <mergeCell ref="S151:S152"/>
    <mergeCell ref="AI137:AI159"/>
    <mergeCell ref="AJ137:AJ159"/>
    <mergeCell ref="AK137:AK159"/>
    <mergeCell ref="AL137:AL159"/>
    <mergeCell ref="AM137:AM159"/>
    <mergeCell ref="AN137:AN159"/>
    <mergeCell ref="AC137:AC159"/>
    <mergeCell ref="AD137:AD159"/>
    <mergeCell ref="AE137:AE159"/>
    <mergeCell ref="AF137:AF159"/>
    <mergeCell ref="AG137:AG159"/>
    <mergeCell ref="AH137:AH159"/>
    <mergeCell ref="W137:W159"/>
    <mergeCell ref="X137:X159"/>
    <mergeCell ref="Y137:Y159"/>
    <mergeCell ref="Z137:Z159"/>
    <mergeCell ref="AA137:AA159"/>
    <mergeCell ref="AB137:AB159"/>
    <mergeCell ref="M137:M159"/>
    <mergeCell ref="N137:N159"/>
    <mergeCell ref="O137:O145"/>
    <mergeCell ref="P137:P159"/>
    <mergeCell ref="Q137:Q159"/>
    <mergeCell ref="R137:R159"/>
    <mergeCell ref="S156:S157"/>
    <mergeCell ref="S158:S159"/>
    <mergeCell ref="O156:O159"/>
    <mergeCell ref="AO126:AO136"/>
    <mergeCell ref="S127:S128"/>
    <mergeCell ref="S131:S132"/>
    <mergeCell ref="S133:S134"/>
    <mergeCell ref="G137:G145"/>
    <mergeCell ref="H137:H145"/>
    <mergeCell ref="I137:I145"/>
    <mergeCell ref="J137:J145"/>
    <mergeCell ref="K137:K145"/>
    <mergeCell ref="L137:L159"/>
    <mergeCell ref="AI126:AI136"/>
    <mergeCell ref="AJ126:AJ136"/>
    <mergeCell ref="AK126:AK136"/>
    <mergeCell ref="AL126:AL136"/>
    <mergeCell ref="AM126:AM136"/>
    <mergeCell ref="AN126:AN136"/>
    <mergeCell ref="AC126:AC136"/>
    <mergeCell ref="AD126:AD136"/>
    <mergeCell ref="AE126:AE136"/>
    <mergeCell ref="AF126:AF136"/>
    <mergeCell ref="AG126:AG136"/>
    <mergeCell ref="AH126:AH136"/>
    <mergeCell ref="W126:W136"/>
    <mergeCell ref="X126:X136"/>
    <mergeCell ref="G126:G136"/>
    <mergeCell ref="H126:H136"/>
    <mergeCell ref="I126:I136"/>
    <mergeCell ref="J126:J136"/>
    <mergeCell ref="K126:K136"/>
    <mergeCell ref="L126:L136"/>
    <mergeCell ref="AK117:AK125"/>
    <mergeCell ref="AL117:AL125"/>
    <mergeCell ref="AM117:AM125"/>
    <mergeCell ref="P117:P125"/>
    <mergeCell ref="Q117:Q125"/>
    <mergeCell ref="R117:R125"/>
    <mergeCell ref="Y126:Y136"/>
    <mergeCell ref="Z126:Z136"/>
    <mergeCell ref="AA126:AA136"/>
    <mergeCell ref="AB126:AB136"/>
    <mergeCell ref="M126:M136"/>
    <mergeCell ref="N126:N136"/>
    <mergeCell ref="O126:O136"/>
    <mergeCell ref="P126:P136"/>
    <mergeCell ref="Q126:Q136"/>
    <mergeCell ref="R126:R136"/>
    <mergeCell ref="AN117:AN125"/>
    <mergeCell ref="AO117:AO125"/>
    <mergeCell ref="S123:S124"/>
    <mergeCell ref="AE117:AE125"/>
    <mergeCell ref="AF117:AF125"/>
    <mergeCell ref="AG117:AG125"/>
    <mergeCell ref="AH117:AH125"/>
    <mergeCell ref="AI117:AI125"/>
    <mergeCell ref="AJ117:AJ125"/>
    <mergeCell ref="Y117:Y125"/>
    <mergeCell ref="Z117:Z125"/>
    <mergeCell ref="AA117:AA125"/>
    <mergeCell ref="AB117:AB125"/>
    <mergeCell ref="AC117:AC125"/>
    <mergeCell ref="AD117:AD125"/>
    <mergeCell ref="S117:S118"/>
    <mergeCell ref="W117:W125"/>
    <mergeCell ref="X117:X125"/>
    <mergeCell ref="AO115:AO116"/>
    <mergeCell ref="G117:G125"/>
    <mergeCell ref="H117:H125"/>
    <mergeCell ref="I117:I125"/>
    <mergeCell ref="J117:J125"/>
    <mergeCell ref="K117:K125"/>
    <mergeCell ref="L117:L125"/>
    <mergeCell ref="M117:M125"/>
    <mergeCell ref="N117:N125"/>
    <mergeCell ref="O117:O125"/>
    <mergeCell ref="AI115:AI116"/>
    <mergeCell ref="AJ115:AJ116"/>
    <mergeCell ref="AK115:AK116"/>
    <mergeCell ref="AL115:AL116"/>
    <mergeCell ref="AM115:AM116"/>
    <mergeCell ref="AN115:AN116"/>
    <mergeCell ref="AC115:AC116"/>
    <mergeCell ref="AD115:AD116"/>
    <mergeCell ref="AE115:AE116"/>
    <mergeCell ref="AF115:AF116"/>
    <mergeCell ref="AG115:AG116"/>
    <mergeCell ref="AH115:AH116"/>
    <mergeCell ref="W115:W116"/>
    <mergeCell ref="X115:X116"/>
    <mergeCell ref="Y115:Y116"/>
    <mergeCell ref="Z115:Z116"/>
    <mergeCell ref="AA115:AA116"/>
    <mergeCell ref="AB115:AB116"/>
    <mergeCell ref="M115:M116"/>
    <mergeCell ref="N115:N116"/>
    <mergeCell ref="O115:O116"/>
    <mergeCell ref="P115:P116"/>
    <mergeCell ref="Q115:Q116"/>
    <mergeCell ref="R115:R116"/>
    <mergeCell ref="G115:G116"/>
    <mergeCell ref="H115:H116"/>
    <mergeCell ref="I115:I116"/>
    <mergeCell ref="J115:J116"/>
    <mergeCell ref="K115:K116"/>
    <mergeCell ref="L115:L116"/>
    <mergeCell ref="AN107:AN114"/>
    <mergeCell ref="AO107:AO114"/>
    <mergeCell ref="J109:J114"/>
    <mergeCell ref="K109:K114"/>
    <mergeCell ref="S109:S110"/>
    <mergeCell ref="S111:S112"/>
    <mergeCell ref="S113:S114"/>
    <mergeCell ref="AH107:AH114"/>
    <mergeCell ref="AI107:AI114"/>
    <mergeCell ref="AJ107:AJ114"/>
    <mergeCell ref="AK107:AK114"/>
    <mergeCell ref="AL107:AL114"/>
    <mergeCell ref="AM107:AM114"/>
    <mergeCell ref="AB107:AB114"/>
    <mergeCell ref="AC107:AC114"/>
    <mergeCell ref="AD107:AD114"/>
    <mergeCell ref="AE107:AE114"/>
    <mergeCell ref="AF107:AF114"/>
    <mergeCell ref="AG107:AG114"/>
    <mergeCell ref="S107:S108"/>
    <mergeCell ref="W107:W114"/>
    <mergeCell ref="X107:X114"/>
    <mergeCell ref="Y107:Y114"/>
    <mergeCell ref="Z107:Z114"/>
    <mergeCell ref="AA107:AA114"/>
    <mergeCell ref="M107:M114"/>
    <mergeCell ref="N107:N114"/>
    <mergeCell ref="O107:O114"/>
    <mergeCell ref="P107:P114"/>
    <mergeCell ref="Q107:Q114"/>
    <mergeCell ref="R107:R114"/>
    <mergeCell ref="AL101:AL105"/>
    <mergeCell ref="AM101:AM105"/>
    <mergeCell ref="AN101:AN105"/>
    <mergeCell ref="AO101:AO105"/>
    <mergeCell ref="G107:G114"/>
    <mergeCell ref="H107:H114"/>
    <mergeCell ref="I107:I114"/>
    <mergeCell ref="J107:J108"/>
    <mergeCell ref="K107:K108"/>
    <mergeCell ref="L107:L114"/>
    <mergeCell ref="AF101:AF105"/>
    <mergeCell ref="AG101:AG105"/>
    <mergeCell ref="AH101:AH105"/>
    <mergeCell ref="AI101:AI105"/>
    <mergeCell ref="AJ101:AJ105"/>
    <mergeCell ref="AK101:AK105"/>
    <mergeCell ref="Z101:Z105"/>
    <mergeCell ref="AA101:AA105"/>
    <mergeCell ref="AB101:AB105"/>
    <mergeCell ref="AC101:AC105"/>
    <mergeCell ref="AD101:AD105"/>
    <mergeCell ref="AE101:AE105"/>
    <mergeCell ref="P101:P105"/>
    <mergeCell ref="Q101:Q105"/>
    <mergeCell ref="R101:R105"/>
    <mergeCell ref="W101:W105"/>
    <mergeCell ref="X101:X105"/>
    <mergeCell ref="Y101:Y105"/>
    <mergeCell ref="J101:J105"/>
    <mergeCell ref="K101:K105"/>
    <mergeCell ref="L101:L105"/>
    <mergeCell ref="M101:M105"/>
    <mergeCell ref="N101:N105"/>
    <mergeCell ref="O101:O105"/>
    <mergeCell ref="D101:D105"/>
    <mergeCell ref="E101:E105"/>
    <mergeCell ref="F101:F105"/>
    <mergeCell ref="G101:G105"/>
    <mergeCell ref="H101:H105"/>
    <mergeCell ref="I101:I105"/>
    <mergeCell ref="G98:G100"/>
    <mergeCell ref="H98:H100"/>
    <mergeCell ref="I98:I100"/>
    <mergeCell ref="J98:J100"/>
    <mergeCell ref="K98:K100"/>
    <mergeCell ref="O98:O100"/>
    <mergeCell ref="AJ96:AJ100"/>
    <mergeCell ref="AK96:AK100"/>
    <mergeCell ref="AL96:AL100"/>
    <mergeCell ref="AM96:AM100"/>
    <mergeCell ref="AN96:AN100"/>
    <mergeCell ref="AO96:AO100"/>
    <mergeCell ref="AD96:AD100"/>
    <mergeCell ref="AE96:AE100"/>
    <mergeCell ref="AF96:AF100"/>
    <mergeCell ref="AG96:AG100"/>
    <mergeCell ref="AH96:AH100"/>
    <mergeCell ref="AI96:AI100"/>
    <mergeCell ref="X96:X100"/>
    <mergeCell ref="Y96:Y100"/>
    <mergeCell ref="Z96:Z100"/>
    <mergeCell ref="AA96:AA100"/>
    <mergeCell ref="AB96:AB100"/>
    <mergeCell ref="AC96:AC100"/>
    <mergeCell ref="N96:N100"/>
    <mergeCell ref="O96:O97"/>
    <mergeCell ref="P96:P100"/>
    <mergeCell ref="Q96:Q100"/>
    <mergeCell ref="R96:R100"/>
    <mergeCell ref="W96:W100"/>
    <mergeCell ref="AM93:AM95"/>
    <mergeCell ref="AN93:AN95"/>
    <mergeCell ref="AO93:AO95"/>
    <mergeCell ref="G96:G97"/>
    <mergeCell ref="H96:H97"/>
    <mergeCell ref="I96:I97"/>
    <mergeCell ref="J96:J97"/>
    <mergeCell ref="K96:K97"/>
    <mergeCell ref="L96:L100"/>
    <mergeCell ref="M96:M100"/>
    <mergeCell ref="AG93:AG95"/>
    <mergeCell ref="AH93:AH95"/>
    <mergeCell ref="AI93:AI95"/>
    <mergeCell ref="AJ93:AJ95"/>
    <mergeCell ref="AK93:AK95"/>
    <mergeCell ref="AL93:AL95"/>
    <mergeCell ref="AA93:AA95"/>
    <mergeCell ref="AB93:AB95"/>
    <mergeCell ref="AC93:AC95"/>
    <mergeCell ref="AD93:AD95"/>
    <mergeCell ref="AE93:AE95"/>
    <mergeCell ref="S93:S94"/>
    <mergeCell ref="W93:W95"/>
    <mergeCell ref="X93:X95"/>
    <mergeCell ref="Y93:Y95"/>
    <mergeCell ref="Z93:Z95"/>
    <mergeCell ref="L93:L95"/>
    <mergeCell ref="M93:M95"/>
    <mergeCell ref="N93:N95"/>
    <mergeCell ref="O93:O95"/>
    <mergeCell ref="P93:P95"/>
    <mergeCell ref="Q93:Q95"/>
    <mergeCell ref="AM91:AM92"/>
    <mergeCell ref="AN91:AN92"/>
    <mergeCell ref="AO91:AO92"/>
    <mergeCell ref="G93:G95"/>
    <mergeCell ref="H93:H95"/>
    <mergeCell ref="I93:I95"/>
    <mergeCell ref="J93:J95"/>
    <mergeCell ref="K93:K95"/>
    <mergeCell ref="AE91:AE92"/>
    <mergeCell ref="AF91:AF92"/>
    <mergeCell ref="AG91:AG92"/>
    <mergeCell ref="AH91:AH92"/>
    <mergeCell ref="AI91:AI92"/>
    <mergeCell ref="AJ91:AJ92"/>
    <mergeCell ref="Y91:Y92"/>
    <mergeCell ref="Z91:Z92"/>
    <mergeCell ref="AA91:AA92"/>
    <mergeCell ref="AB91:AB92"/>
    <mergeCell ref="AC91:AC92"/>
    <mergeCell ref="AD91:AD92"/>
    <mergeCell ref="O91:O92"/>
    <mergeCell ref="P91:P92"/>
    <mergeCell ref="AF93:AF95"/>
    <mergeCell ref="R93:R95"/>
    <mergeCell ref="X91:X92"/>
    <mergeCell ref="I91:I92"/>
    <mergeCell ref="J91:J92"/>
    <mergeCell ref="K91:K92"/>
    <mergeCell ref="L91:L92"/>
    <mergeCell ref="M91:M92"/>
    <mergeCell ref="N91:N92"/>
    <mergeCell ref="AK91:AK92"/>
    <mergeCell ref="AL91:AL92"/>
    <mergeCell ref="C91:C92"/>
    <mergeCell ref="D91:D92"/>
    <mergeCell ref="E91:E92"/>
    <mergeCell ref="F91:F92"/>
    <mergeCell ref="G91:G92"/>
    <mergeCell ref="H91:H92"/>
    <mergeCell ref="AJ87:AJ90"/>
    <mergeCell ref="AK87:AK90"/>
    <mergeCell ref="AL87:AL90"/>
    <mergeCell ref="X87:X90"/>
    <mergeCell ref="Y87:Y90"/>
    <mergeCell ref="Z87:Z90"/>
    <mergeCell ref="AA87:AA90"/>
    <mergeCell ref="AB87:AB90"/>
    <mergeCell ref="AC87:AC90"/>
    <mergeCell ref="N87:N90"/>
    <mergeCell ref="O87:O90"/>
    <mergeCell ref="P87:P90"/>
    <mergeCell ref="Q87:Q90"/>
    <mergeCell ref="R87:R90"/>
    <mergeCell ref="W87:W90"/>
    <mergeCell ref="Q91:Q92"/>
    <mergeCell ref="R91:R92"/>
    <mergeCell ref="W91:W92"/>
    <mergeCell ref="AM87:AM90"/>
    <mergeCell ref="AN87:AN90"/>
    <mergeCell ref="AO87:AO90"/>
    <mergeCell ref="AD87:AD90"/>
    <mergeCell ref="AE87:AE90"/>
    <mergeCell ref="AF87:AF90"/>
    <mergeCell ref="AG87:AG90"/>
    <mergeCell ref="AH87:AH90"/>
    <mergeCell ref="AI87:AI90"/>
    <mergeCell ref="AM81:AM84"/>
    <mergeCell ref="AN81:AN84"/>
    <mergeCell ref="AO81:AO84"/>
    <mergeCell ref="G87:G90"/>
    <mergeCell ref="H87:H90"/>
    <mergeCell ref="I87:I90"/>
    <mergeCell ref="J87:J90"/>
    <mergeCell ref="K87:K90"/>
    <mergeCell ref="L87:L90"/>
    <mergeCell ref="M87:M90"/>
    <mergeCell ref="AG81:AG84"/>
    <mergeCell ref="AH81:AH84"/>
    <mergeCell ref="AI81:AI84"/>
    <mergeCell ref="AJ81:AJ84"/>
    <mergeCell ref="AK81:AK84"/>
    <mergeCell ref="AL81:AL84"/>
    <mergeCell ref="AA81:AA84"/>
    <mergeCell ref="AB81:AB84"/>
    <mergeCell ref="AC81:AC84"/>
    <mergeCell ref="AD81:AD84"/>
    <mergeCell ref="AE81:AE84"/>
    <mergeCell ref="AF81:AF84"/>
    <mergeCell ref="Q81:Q84"/>
    <mergeCell ref="R81:R84"/>
    <mergeCell ref="W81:W84"/>
    <mergeCell ref="X81:X84"/>
    <mergeCell ref="Y81:Y84"/>
    <mergeCell ref="Z81:Z84"/>
    <mergeCell ref="K81:K84"/>
    <mergeCell ref="L81:L84"/>
    <mergeCell ref="M81:M84"/>
    <mergeCell ref="N81:N84"/>
    <mergeCell ref="O81:O84"/>
    <mergeCell ref="P81:P84"/>
    <mergeCell ref="AN75:AN80"/>
    <mergeCell ref="AO75:AO80"/>
    <mergeCell ref="S79:S80"/>
    <mergeCell ref="D81:D84"/>
    <mergeCell ref="E81:E84"/>
    <mergeCell ref="F81:F84"/>
    <mergeCell ref="G81:G84"/>
    <mergeCell ref="H81:H84"/>
    <mergeCell ref="I81:I84"/>
    <mergeCell ref="J81:J84"/>
    <mergeCell ref="AH75:AH80"/>
    <mergeCell ref="AI75:AI80"/>
    <mergeCell ref="AJ75:AJ80"/>
    <mergeCell ref="AK75:AK80"/>
    <mergeCell ref="AL75:AL80"/>
    <mergeCell ref="AM75:AM80"/>
    <mergeCell ref="AB75:AB80"/>
    <mergeCell ref="AC75:AC80"/>
    <mergeCell ref="AD75:AD80"/>
    <mergeCell ref="AE75:AE80"/>
    <mergeCell ref="AF75:AF80"/>
    <mergeCell ref="AG75:AG80"/>
    <mergeCell ref="R75:R80"/>
    <mergeCell ref="W75:W80"/>
    <mergeCell ref="X75:X80"/>
    <mergeCell ref="Y75:Y80"/>
    <mergeCell ref="Z75:Z80"/>
    <mergeCell ref="AA75:AA80"/>
    <mergeCell ref="L75:L80"/>
    <mergeCell ref="M75:M80"/>
    <mergeCell ref="N75:N80"/>
    <mergeCell ref="O75:O80"/>
    <mergeCell ref="P75:P80"/>
    <mergeCell ref="Q75:Q80"/>
    <mergeCell ref="AN72:AN74"/>
    <mergeCell ref="AO72:AO74"/>
    <mergeCell ref="D75:D78"/>
    <mergeCell ref="E75:E78"/>
    <mergeCell ref="F75:F78"/>
    <mergeCell ref="G75:G80"/>
    <mergeCell ref="H75:H80"/>
    <mergeCell ref="I75:I80"/>
    <mergeCell ref="J75:J80"/>
    <mergeCell ref="K75:K80"/>
    <mergeCell ref="AH72:AH74"/>
    <mergeCell ref="AI72:AI74"/>
    <mergeCell ref="AJ72:AJ74"/>
    <mergeCell ref="AK72:AK74"/>
    <mergeCell ref="AL72:AL74"/>
    <mergeCell ref="AM72:AM74"/>
    <mergeCell ref="AB72:AB74"/>
    <mergeCell ref="AC72:AC74"/>
    <mergeCell ref="AD72:AD74"/>
    <mergeCell ref="AE72:AE74"/>
    <mergeCell ref="AF72:AF74"/>
    <mergeCell ref="AG72:AG74"/>
    <mergeCell ref="R72:R74"/>
    <mergeCell ref="W72:W74"/>
    <mergeCell ref="X72:X74"/>
    <mergeCell ref="Y72:Y74"/>
    <mergeCell ref="Z72:Z74"/>
    <mergeCell ref="AA72:AA74"/>
    <mergeCell ref="L72:L74"/>
    <mergeCell ref="M72:M74"/>
    <mergeCell ref="N72:N74"/>
    <mergeCell ref="O72:O74"/>
    <mergeCell ref="P72:P74"/>
    <mergeCell ref="Q72:Q74"/>
    <mergeCell ref="AK61:AK71"/>
    <mergeCell ref="AL61:AL71"/>
    <mergeCell ref="AM61:AM71"/>
    <mergeCell ref="AN61:AN71"/>
    <mergeCell ref="AO61:AO71"/>
    <mergeCell ref="G72:G74"/>
    <mergeCell ref="H72:H74"/>
    <mergeCell ref="I72:I74"/>
    <mergeCell ref="J72:J74"/>
    <mergeCell ref="K72:K74"/>
    <mergeCell ref="AE61:AE71"/>
    <mergeCell ref="AF61:AF71"/>
    <mergeCell ref="AG61:AG71"/>
    <mergeCell ref="AH61:AH71"/>
    <mergeCell ref="AI61:AI71"/>
    <mergeCell ref="AJ61:AJ71"/>
    <mergeCell ref="Y61:Y71"/>
    <mergeCell ref="Z61:Z71"/>
    <mergeCell ref="AA61:AA71"/>
    <mergeCell ref="AB61:AB71"/>
    <mergeCell ref="AC61:AC71"/>
    <mergeCell ref="AD61:AD71"/>
    <mergeCell ref="O61:O71"/>
    <mergeCell ref="P61:P71"/>
    <mergeCell ref="Q61:Q71"/>
    <mergeCell ref="R61:R71"/>
    <mergeCell ref="W61:W71"/>
    <mergeCell ref="X61:X71"/>
    <mergeCell ref="AO47:AO60"/>
    <mergeCell ref="S50:S51"/>
    <mergeCell ref="G61:G71"/>
    <mergeCell ref="H61:H71"/>
    <mergeCell ref="I61:I71"/>
    <mergeCell ref="J61:J71"/>
    <mergeCell ref="K61:K71"/>
    <mergeCell ref="L61:L71"/>
    <mergeCell ref="M61:M71"/>
    <mergeCell ref="N61:N71"/>
    <mergeCell ref="AI47:AI60"/>
    <mergeCell ref="AJ47:AJ60"/>
    <mergeCell ref="AK47:AK60"/>
    <mergeCell ref="AL47:AL60"/>
    <mergeCell ref="AM47:AM60"/>
    <mergeCell ref="AN47:AN60"/>
    <mergeCell ref="AC47:AC60"/>
    <mergeCell ref="AD47:AD60"/>
    <mergeCell ref="AE47:AE60"/>
    <mergeCell ref="AF47:AF60"/>
    <mergeCell ref="Z47:Z60"/>
    <mergeCell ref="AA47:AA60"/>
    <mergeCell ref="AB47:AB60"/>
    <mergeCell ref="M47:M60"/>
    <mergeCell ref="N47:N60"/>
    <mergeCell ref="O47:O60"/>
    <mergeCell ref="P47:P60"/>
    <mergeCell ref="Q47:Q60"/>
    <mergeCell ref="R47:R60"/>
    <mergeCell ref="G47:G60"/>
    <mergeCell ref="H47:H60"/>
    <mergeCell ref="I47:I60"/>
    <mergeCell ref="J47:J60"/>
    <mergeCell ref="K47:K60"/>
    <mergeCell ref="L47:L60"/>
    <mergeCell ref="AK38:AK46"/>
    <mergeCell ref="AL38:AL46"/>
    <mergeCell ref="AM38:AM46"/>
    <mergeCell ref="O38:O46"/>
    <mergeCell ref="P38:P46"/>
    <mergeCell ref="Q38:Q46"/>
    <mergeCell ref="R38:R46"/>
    <mergeCell ref="I38:I46"/>
    <mergeCell ref="J38:J46"/>
    <mergeCell ref="K38:K46"/>
    <mergeCell ref="L38:L46"/>
    <mergeCell ref="M38:M46"/>
    <mergeCell ref="N38:N46"/>
    <mergeCell ref="AG47:AG60"/>
    <mergeCell ref="AH47:AH60"/>
    <mergeCell ref="W47:W60"/>
    <mergeCell ref="X47:X60"/>
    <mergeCell ref="Y47:Y60"/>
    <mergeCell ref="AN38:AN46"/>
    <mergeCell ref="AO38:AO46"/>
    <mergeCell ref="S39:S40"/>
    <mergeCell ref="AE38:AE46"/>
    <mergeCell ref="AF38:AF46"/>
    <mergeCell ref="AG38:AG46"/>
    <mergeCell ref="AH38:AH46"/>
    <mergeCell ref="AI38:AI46"/>
    <mergeCell ref="AJ38:AJ46"/>
    <mergeCell ref="Y38:Y46"/>
    <mergeCell ref="Z38:Z46"/>
    <mergeCell ref="AA38:AA46"/>
    <mergeCell ref="AB38:AB46"/>
    <mergeCell ref="AC38:AC46"/>
    <mergeCell ref="AD38:AD46"/>
    <mergeCell ref="W38:W46"/>
    <mergeCell ref="X38:X46"/>
    <mergeCell ref="B37:C37"/>
    <mergeCell ref="E37:F37"/>
    <mergeCell ref="B38:C38"/>
    <mergeCell ref="E38:F38"/>
    <mergeCell ref="G38:G46"/>
    <mergeCell ref="H38:H46"/>
    <mergeCell ref="AM28:AM37"/>
    <mergeCell ref="AN28:AN37"/>
    <mergeCell ref="AO28:AO37"/>
    <mergeCell ref="G31:G37"/>
    <mergeCell ref="H31:H37"/>
    <mergeCell ref="I31:I37"/>
    <mergeCell ref="J31:J37"/>
    <mergeCell ref="K31:K37"/>
    <mergeCell ref="O31:O37"/>
    <mergeCell ref="AG28:AG37"/>
    <mergeCell ref="AH28:AH37"/>
    <mergeCell ref="AI28:AI37"/>
    <mergeCell ref="AJ28:AJ37"/>
    <mergeCell ref="AK28:AK37"/>
    <mergeCell ref="AL28:AL37"/>
    <mergeCell ref="AA28:AA37"/>
    <mergeCell ref="AB28:AB37"/>
    <mergeCell ref="AC28:AC37"/>
    <mergeCell ref="L28:L37"/>
    <mergeCell ref="M28:M37"/>
    <mergeCell ref="N28:N37"/>
    <mergeCell ref="O28:O30"/>
    <mergeCell ref="P28:P37"/>
    <mergeCell ref="Q28:Q37"/>
    <mergeCell ref="AK21:AK26"/>
    <mergeCell ref="AL21:AL26"/>
    <mergeCell ref="AM21:AM26"/>
    <mergeCell ref="X21:X26"/>
    <mergeCell ref="AD28:AD37"/>
    <mergeCell ref="AE28:AE37"/>
    <mergeCell ref="AF28:AF37"/>
    <mergeCell ref="R28:R37"/>
    <mergeCell ref="S28:S29"/>
    <mergeCell ref="W28:W37"/>
    <mergeCell ref="X28:X37"/>
    <mergeCell ref="Y28:Y37"/>
    <mergeCell ref="Z28:Z37"/>
    <mergeCell ref="AN21:AN26"/>
    <mergeCell ref="AO21:AO26"/>
    <mergeCell ref="G28:G30"/>
    <mergeCell ref="H28:H30"/>
    <mergeCell ref="I28:I30"/>
    <mergeCell ref="J28:J30"/>
    <mergeCell ref="K28:K30"/>
    <mergeCell ref="AE21:AE26"/>
    <mergeCell ref="AF21:AF26"/>
    <mergeCell ref="AG21:AG26"/>
    <mergeCell ref="AH21:AH26"/>
    <mergeCell ref="AI21:AI26"/>
    <mergeCell ref="AJ21:AJ26"/>
    <mergeCell ref="Y21:Y26"/>
    <mergeCell ref="Z21:Z26"/>
    <mergeCell ref="AA21:AA26"/>
    <mergeCell ref="AB21:AB26"/>
    <mergeCell ref="AC21:AC26"/>
    <mergeCell ref="AD21:AD26"/>
    <mergeCell ref="O21:O26"/>
    <mergeCell ref="P21:P26"/>
    <mergeCell ref="Q21:Q26"/>
    <mergeCell ref="R21:R26"/>
    <mergeCell ref="W21:W26"/>
    <mergeCell ref="I21:I26"/>
    <mergeCell ref="J21:J26"/>
    <mergeCell ref="K21:K26"/>
    <mergeCell ref="L21:L26"/>
    <mergeCell ref="M21:M26"/>
    <mergeCell ref="N21:N26"/>
    <mergeCell ref="B19:C19"/>
    <mergeCell ref="E19:F19"/>
    <mergeCell ref="E21:E26"/>
    <mergeCell ref="F21:F26"/>
    <mergeCell ref="G21:G26"/>
    <mergeCell ref="H21:H26"/>
    <mergeCell ref="AN11:AN19"/>
    <mergeCell ref="AO11:AO19"/>
    <mergeCell ref="S12:S13"/>
    <mergeCell ref="S14:S15"/>
    <mergeCell ref="G16:G19"/>
    <mergeCell ref="H16:H19"/>
    <mergeCell ref="I16:I19"/>
    <mergeCell ref="J16:J19"/>
    <mergeCell ref="K16:K19"/>
    <mergeCell ref="O16:O19"/>
    <mergeCell ref="AH11:AH19"/>
    <mergeCell ref="AI11:AI19"/>
    <mergeCell ref="AJ11:AJ19"/>
    <mergeCell ref="AK11:AK19"/>
    <mergeCell ref="AL11:AL19"/>
    <mergeCell ref="AM11:AM19"/>
    <mergeCell ref="AB11:AB19"/>
    <mergeCell ref="AC11:AC19"/>
    <mergeCell ref="AD11:AD19"/>
    <mergeCell ref="AE11:AE19"/>
    <mergeCell ref="AF11:AF19"/>
    <mergeCell ref="AG11:AG19"/>
    <mergeCell ref="R11:R19"/>
    <mergeCell ref="W11:W19"/>
    <mergeCell ref="X11:X19"/>
    <mergeCell ref="Y11:Y19"/>
    <mergeCell ref="Z11:Z19"/>
    <mergeCell ref="AA11:AA19"/>
    <mergeCell ref="L11:L19"/>
    <mergeCell ref="M11:M19"/>
    <mergeCell ref="N11:N19"/>
    <mergeCell ref="O11:O15"/>
    <mergeCell ref="P11:P19"/>
    <mergeCell ref="Q11:Q19"/>
    <mergeCell ref="N7:N8"/>
    <mergeCell ref="V7:V8"/>
    <mergeCell ref="U7:U8"/>
    <mergeCell ref="T7:T8"/>
    <mergeCell ref="G11:G15"/>
    <mergeCell ref="H11:H15"/>
    <mergeCell ref="I11:I15"/>
    <mergeCell ref="J11:J15"/>
    <mergeCell ref="K11:K15"/>
    <mergeCell ref="O7:O8"/>
    <mergeCell ref="P7:P8"/>
    <mergeCell ref="Q7:Q8"/>
    <mergeCell ref="R7:R8"/>
    <mergeCell ref="A1:AM4"/>
    <mergeCell ref="A5:K6"/>
    <mergeCell ref="L5:AO5"/>
    <mergeCell ref="W6:AK6"/>
    <mergeCell ref="A7:A8"/>
    <mergeCell ref="B7:C8"/>
    <mergeCell ref="D7:D8"/>
    <mergeCell ref="E7:F8"/>
    <mergeCell ref="G7:G8"/>
    <mergeCell ref="H7:H8"/>
    <mergeCell ref="AL7:AL8"/>
    <mergeCell ref="AM7:AM8"/>
    <mergeCell ref="AN7:AN8"/>
    <mergeCell ref="AO7:AO8"/>
    <mergeCell ref="W7:X7"/>
    <mergeCell ref="Y7:AB7"/>
    <mergeCell ref="AC7:AH7"/>
    <mergeCell ref="AI7:AK7"/>
    <mergeCell ref="S7:S8"/>
    <mergeCell ref="I7:I8"/>
    <mergeCell ref="J7:J8"/>
    <mergeCell ref="K7:K8"/>
    <mergeCell ref="L7:L8"/>
    <mergeCell ref="M7:M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339"/>
  <sheetViews>
    <sheetView showGridLines="0" zoomScale="70" zoomScaleNormal="70" workbookViewId="0">
      <selection activeCell="H17" sqref="H17:H19"/>
    </sheetView>
  </sheetViews>
  <sheetFormatPr baseColWidth="10" defaultColWidth="11.42578125" defaultRowHeight="14.25" x14ac:dyDescent="0.2"/>
  <cols>
    <col min="1" max="1" width="10.5703125" style="439" customWidth="1"/>
    <col min="2" max="2" width="14.140625" style="360" customWidth="1"/>
    <col min="3" max="3" width="8" style="360" customWidth="1"/>
    <col min="4" max="4" width="13" style="360" customWidth="1"/>
    <col min="5" max="5" width="18" style="360" customWidth="1"/>
    <col min="6" max="6" width="4.5703125" style="360" customWidth="1"/>
    <col min="7" max="7" width="14.28515625" style="360" customWidth="1"/>
    <col min="8" max="8" width="12.42578125" style="360" customWidth="1"/>
    <col min="9" max="9" width="39.28515625" style="442" customWidth="1"/>
    <col min="10" max="10" width="40.42578125" style="442" customWidth="1"/>
    <col min="11" max="11" width="21.5703125" style="4076" customWidth="1"/>
    <col min="12" max="12" width="35.28515625" style="442" customWidth="1"/>
    <col min="13" max="13" width="23.7109375" style="441" customWidth="1"/>
    <col min="14" max="14" width="38" style="442" customWidth="1"/>
    <col min="15" max="15" width="20.42578125" style="443" customWidth="1"/>
    <col min="16" max="16" width="24" style="453" customWidth="1"/>
    <col min="17" max="17" width="49.5703125" style="442" customWidth="1"/>
    <col min="18" max="18" width="50.28515625" style="442" customWidth="1"/>
    <col min="19" max="19" width="62.7109375" style="442" customWidth="1"/>
    <col min="20" max="20" width="27.7109375" style="4079" customWidth="1"/>
    <col min="21" max="21" width="19.42578125" style="446" customWidth="1"/>
    <col min="22" max="22" width="57.42578125" style="442" customWidth="1"/>
    <col min="23" max="39" width="11.140625" style="360" customWidth="1"/>
    <col min="40" max="40" width="16.140625" style="448" customWidth="1"/>
    <col min="41" max="41" width="21.7109375" style="454" customWidth="1"/>
    <col min="42" max="42" width="27" style="450" customWidth="1"/>
    <col min="43" max="16384" width="11.42578125" style="360"/>
  </cols>
  <sheetData>
    <row r="1" spans="1:57" ht="18" customHeight="1" x14ac:dyDescent="0.2">
      <c r="A1" s="3833" t="s">
        <v>2382</v>
      </c>
      <c r="B1" s="3834"/>
      <c r="C1" s="3834"/>
      <c r="D1" s="3834"/>
      <c r="E1" s="3834"/>
      <c r="F1" s="3834"/>
      <c r="G1" s="3834"/>
      <c r="H1" s="3834"/>
      <c r="I1" s="3834"/>
      <c r="J1" s="3834"/>
      <c r="K1" s="3834"/>
      <c r="L1" s="3834"/>
      <c r="M1" s="3834"/>
      <c r="N1" s="3834"/>
      <c r="O1" s="3834"/>
      <c r="P1" s="3834"/>
      <c r="Q1" s="3834"/>
      <c r="R1" s="3834"/>
      <c r="S1" s="3834"/>
      <c r="T1" s="3834"/>
      <c r="U1" s="3834"/>
      <c r="V1" s="3834"/>
      <c r="W1" s="3834"/>
      <c r="X1" s="3834"/>
      <c r="Y1" s="3834"/>
      <c r="Z1" s="3834"/>
      <c r="AA1" s="3834"/>
      <c r="AB1" s="3834"/>
      <c r="AC1" s="3834"/>
      <c r="AD1" s="3834"/>
      <c r="AE1" s="3834"/>
      <c r="AF1" s="3834"/>
      <c r="AG1" s="3834"/>
      <c r="AH1" s="3834"/>
      <c r="AI1" s="3834"/>
      <c r="AJ1" s="3834"/>
      <c r="AK1" s="3834"/>
      <c r="AL1" s="3834"/>
      <c r="AM1" s="3834"/>
      <c r="AN1" s="3835"/>
      <c r="AO1" s="361" t="s">
        <v>1</v>
      </c>
      <c r="AP1" s="3836" t="s">
        <v>210</v>
      </c>
      <c r="AQ1" s="180"/>
      <c r="AR1" s="180"/>
      <c r="AS1" s="180"/>
      <c r="AT1" s="180"/>
      <c r="AU1" s="180"/>
      <c r="AV1" s="180"/>
      <c r="AW1" s="180"/>
      <c r="AX1" s="180"/>
      <c r="AY1" s="180"/>
      <c r="AZ1" s="180"/>
      <c r="BA1" s="180"/>
      <c r="BB1" s="180"/>
      <c r="BC1" s="180"/>
      <c r="BD1" s="180"/>
      <c r="BE1" s="180"/>
    </row>
    <row r="2" spans="1:57" ht="18" customHeight="1" x14ac:dyDescent="0.2">
      <c r="A2" s="3837"/>
      <c r="B2" s="2148"/>
      <c r="C2" s="2148"/>
      <c r="D2" s="2148"/>
      <c r="E2" s="2148"/>
      <c r="F2" s="2148"/>
      <c r="G2" s="2148"/>
      <c r="H2" s="2148"/>
      <c r="I2" s="2148"/>
      <c r="J2" s="2148"/>
      <c r="K2" s="2148"/>
      <c r="L2" s="2148"/>
      <c r="M2" s="2148"/>
      <c r="N2" s="2148"/>
      <c r="O2" s="2148"/>
      <c r="P2" s="2148"/>
      <c r="Q2" s="2148"/>
      <c r="R2" s="2148"/>
      <c r="S2" s="2148"/>
      <c r="T2" s="2148"/>
      <c r="U2" s="2148"/>
      <c r="V2" s="2148"/>
      <c r="W2" s="2148"/>
      <c r="X2" s="2148"/>
      <c r="Y2" s="2148"/>
      <c r="Z2" s="2148"/>
      <c r="AA2" s="2148"/>
      <c r="AB2" s="2148"/>
      <c r="AC2" s="2148"/>
      <c r="AD2" s="2148"/>
      <c r="AE2" s="2148"/>
      <c r="AF2" s="2148"/>
      <c r="AG2" s="2148"/>
      <c r="AH2" s="2148"/>
      <c r="AI2" s="2148"/>
      <c r="AJ2" s="2148"/>
      <c r="AK2" s="2148"/>
      <c r="AL2" s="2148"/>
      <c r="AM2" s="2148"/>
      <c r="AN2" s="3838"/>
      <c r="AO2" s="361" t="s">
        <v>3</v>
      </c>
      <c r="AP2" s="362">
        <v>6</v>
      </c>
      <c r="AQ2" s="180"/>
      <c r="AR2" s="180"/>
      <c r="AS2" s="180"/>
      <c r="AT2" s="180"/>
      <c r="AU2" s="180"/>
      <c r="AV2" s="180"/>
      <c r="AW2" s="180"/>
      <c r="AX2" s="180"/>
      <c r="AY2" s="180"/>
      <c r="AZ2" s="180"/>
      <c r="BA2" s="180"/>
      <c r="BB2" s="180"/>
      <c r="BC2" s="180"/>
      <c r="BD2" s="180"/>
      <c r="BE2" s="180"/>
    </row>
    <row r="3" spans="1:57" ht="18" customHeight="1" x14ac:dyDescent="0.2">
      <c r="A3" s="3837"/>
      <c r="B3" s="2148"/>
      <c r="C3" s="2148"/>
      <c r="D3" s="2148"/>
      <c r="E3" s="2148"/>
      <c r="F3" s="2148"/>
      <c r="G3" s="2148"/>
      <c r="H3" s="2148"/>
      <c r="I3" s="2148"/>
      <c r="J3" s="2148"/>
      <c r="K3" s="2148"/>
      <c r="L3" s="2148"/>
      <c r="M3" s="2148"/>
      <c r="N3" s="2148"/>
      <c r="O3" s="2148"/>
      <c r="P3" s="2148"/>
      <c r="Q3" s="2148"/>
      <c r="R3" s="2148"/>
      <c r="S3" s="2148"/>
      <c r="T3" s="2148"/>
      <c r="U3" s="2148"/>
      <c r="V3" s="2148"/>
      <c r="W3" s="2148"/>
      <c r="X3" s="2148"/>
      <c r="Y3" s="2148"/>
      <c r="Z3" s="2148"/>
      <c r="AA3" s="2148"/>
      <c r="AB3" s="2148"/>
      <c r="AC3" s="2148"/>
      <c r="AD3" s="2148"/>
      <c r="AE3" s="2148"/>
      <c r="AF3" s="2148"/>
      <c r="AG3" s="2148"/>
      <c r="AH3" s="2148"/>
      <c r="AI3" s="2148"/>
      <c r="AJ3" s="2148"/>
      <c r="AK3" s="2148"/>
      <c r="AL3" s="2148"/>
      <c r="AM3" s="2148"/>
      <c r="AN3" s="3838"/>
      <c r="AO3" s="361" t="s">
        <v>5</v>
      </c>
      <c r="AP3" s="363" t="s">
        <v>6</v>
      </c>
      <c r="AQ3" s="180"/>
      <c r="AR3" s="180"/>
      <c r="AS3" s="180"/>
      <c r="AT3" s="180"/>
      <c r="AU3" s="180"/>
      <c r="AV3" s="180"/>
      <c r="AW3" s="180"/>
      <c r="AX3" s="180"/>
      <c r="AY3" s="180"/>
      <c r="AZ3" s="180"/>
      <c r="BA3" s="180"/>
      <c r="BB3" s="180"/>
      <c r="BC3" s="180"/>
      <c r="BD3" s="180"/>
      <c r="BE3" s="180"/>
    </row>
    <row r="4" spans="1:57" ht="18" customHeight="1" x14ac:dyDescent="0.2">
      <c r="A4" s="3839"/>
      <c r="B4" s="2150"/>
      <c r="C4" s="2150"/>
      <c r="D4" s="2150"/>
      <c r="E4" s="2150"/>
      <c r="F4" s="2150"/>
      <c r="G4" s="2150"/>
      <c r="H4" s="2150"/>
      <c r="I4" s="2150"/>
      <c r="J4" s="2150"/>
      <c r="K4" s="2150"/>
      <c r="L4" s="2150"/>
      <c r="M4" s="2150"/>
      <c r="N4" s="2150"/>
      <c r="O4" s="2150"/>
      <c r="P4" s="2150"/>
      <c r="Q4" s="2150"/>
      <c r="R4" s="2150"/>
      <c r="S4" s="2150"/>
      <c r="T4" s="2150"/>
      <c r="U4" s="2150"/>
      <c r="V4" s="2150"/>
      <c r="W4" s="2150"/>
      <c r="X4" s="2150"/>
      <c r="Y4" s="2150"/>
      <c r="Z4" s="2150"/>
      <c r="AA4" s="2150"/>
      <c r="AB4" s="2150"/>
      <c r="AC4" s="2150"/>
      <c r="AD4" s="2150"/>
      <c r="AE4" s="2150"/>
      <c r="AF4" s="2150"/>
      <c r="AG4" s="2150"/>
      <c r="AH4" s="2150"/>
      <c r="AI4" s="2150"/>
      <c r="AJ4" s="2150"/>
      <c r="AK4" s="2150"/>
      <c r="AL4" s="2150"/>
      <c r="AM4" s="2150"/>
      <c r="AN4" s="3840"/>
      <c r="AO4" s="361" t="s">
        <v>7</v>
      </c>
      <c r="AP4" s="364" t="s">
        <v>287</v>
      </c>
      <c r="AQ4" s="180"/>
      <c r="AR4" s="180"/>
      <c r="AS4" s="180"/>
      <c r="AT4" s="180"/>
      <c r="AU4" s="180"/>
      <c r="AV4" s="180"/>
      <c r="AW4" s="180"/>
      <c r="AX4" s="180"/>
      <c r="AY4" s="180"/>
      <c r="AZ4" s="180"/>
      <c r="BA4" s="180"/>
      <c r="BB4" s="180"/>
      <c r="BC4" s="180"/>
      <c r="BD4" s="180"/>
      <c r="BE4" s="180"/>
    </row>
    <row r="5" spans="1:57" ht="15" customHeight="1" x14ac:dyDescent="0.2">
      <c r="A5" s="3841" t="s">
        <v>288</v>
      </c>
      <c r="B5" s="3842"/>
      <c r="C5" s="3842"/>
      <c r="D5" s="3842"/>
      <c r="E5" s="3842"/>
      <c r="F5" s="3842"/>
      <c r="G5" s="3842"/>
      <c r="H5" s="3842"/>
      <c r="I5" s="3842"/>
      <c r="J5" s="3842"/>
      <c r="K5" s="3842"/>
      <c r="L5" s="3843"/>
      <c r="M5" s="3841" t="s">
        <v>10</v>
      </c>
      <c r="N5" s="3842"/>
      <c r="O5" s="3842"/>
      <c r="P5" s="3842"/>
      <c r="Q5" s="3842"/>
      <c r="R5" s="3842"/>
      <c r="S5" s="3842"/>
      <c r="T5" s="3842"/>
      <c r="U5" s="3842"/>
      <c r="V5" s="3842"/>
      <c r="W5" s="3842"/>
      <c r="X5" s="3842"/>
      <c r="Y5" s="3842"/>
      <c r="Z5" s="3842"/>
      <c r="AA5" s="3842"/>
      <c r="AB5" s="3842"/>
      <c r="AC5" s="3842"/>
      <c r="AD5" s="3842"/>
      <c r="AE5" s="3842"/>
      <c r="AF5" s="3842"/>
      <c r="AG5" s="3842"/>
      <c r="AH5" s="3842"/>
      <c r="AI5" s="3842"/>
      <c r="AJ5" s="3842"/>
      <c r="AK5" s="3842"/>
      <c r="AL5" s="3842"/>
      <c r="AM5" s="3842"/>
      <c r="AN5" s="3842"/>
      <c r="AO5" s="3842"/>
      <c r="AP5" s="3843"/>
      <c r="AQ5" s="180"/>
      <c r="AR5" s="180"/>
      <c r="AS5" s="180"/>
      <c r="AT5" s="180"/>
      <c r="AU5" s="180"/>
      <c r="AV5" s="180"/>
      <c r="AW5" s="180"/>
      <c r="AX5" s="180"/>
      <c r="AY5" s="180"/>
      <c r="AZ5" s="180"/>
      <c r="BA5" s="180"/>
      <c r="BB5" s="180"/>
      <c r="BC5" s="180"/>
      <c r="BD5" s="180"/>
      <c r="BE5" s="180"/>
    </row>
    <row r="6" spans="1:57" ht="15" customHeight="1" x14ac:dyDescent="0.2">
      <c r="A6" s="3844"/>
      <c r="B6" s="3845"/>
      <c r="C6" s="3845"/>
      <c r="D6" s="3845"/>
      <c r="E6" s="3845"/>
      <c r="F6" s="3845"/>
      <c r="G6" s="3845"/>
      <c r="H6" s="3845"/>
      <c r="I6" s="3845"/>
      <c r="J6" s="3845"/>
      <c r="K6" s="3845"/>
      <c r="L6" s="3846"/>
      <c r="M6" s="3847"/>
      <c r="N6" s="3848"/>
      <c r="O6" s="3848"/>
      <c r="P6" s="3848"/>
      <c r="Q6" s="3848"/>
      <c r="R6" s="3848"/>
      <c r="S6" s="3848"/>
      <c r="T6" s="3848"/>
      <c r="U6" s="3848"/>
      <c r="V6" s="3848"/>
      <c r="W6" s="3848"/>
      <c r="X6" s="3848"/>
      <c r="Y6" s="3848"/>
      <c r="Z6" s="3848"/>
      <c r="AA6" s="3848"/>
      <c r="AB6" s="3848"/>
      <c r="AC6" s="3848"/>
      <c r="AD6" s="3848"/>
      <c r="AE6" s="3848"/>
      <c r="AF6" s="3848"/>
      <c r="AG6" s="3848"/>
      <c r="AH6" s="3848"/>
      <c r="AI6" s="3848"/>
      <c r="AJ6" s="3848"/>
      <c r="AK6" s="3848"/>
      <c r="AL6" s="3848"/>
      <c r="AM6" s="3848"/>
      <c r="AN6" s="3848"/>
      <c r="AO6" s="3848"/>
      <c r="AP6" s="3849"/>
      <c r="AQ6" s="180"/>
      <c r="AR6" s="180"/>
      <c r="AS6" s="180"/>
      <c r="AT6" s="180"/>
      <c r="AU6" s="180"/>
      <c r="AV6" s="180"/>
      <c r="AW6" s="180"/>
      <c r="AX6" s="180"/>
      <c r="AY6" s="180"/>
      <c r="AZ6" s="180"/>
      <c r="BA6" s="180"/>
      <c r="BB6" s="180"/>
      <c r="BC6" s="180"/>
      <c r="BD6" s="180"/>
      <c r="BE6" s="180"/>
    </row>
    <row r="7" spans="1:57" s="58" customFormat="1" ht="22.5" customHeight="1" x14ac:dyDescent="0.2">
      <c r="A7" s="2169" t="s">
        <v>12</v>
      </c>
      <c r="B7" s="2160" t="s">
        <v>13</v>
      </c>
      <c r="C7" s="2161"/>
      <c r="D7" s="2161" t="s">
        <v>12</v>
      </c>
      <c r="E7" s="2160" t="s">
        <v>14</v>
      </c>
      <c r="F7" s="2161"/>
      <c r="G7" s="2161" t="s">
        <v>12</v>
      </c>
      <c r="H7" s="2143" t="s">
        <v>289</v>
      </c>
      <c r="I7" s="2160" t="s">
        <v>15</v>
      </c>
      <c r="J7" s="2143" t="s">
        <v>16</v>
      </c>
      <c r="K7" s="2143" t="s">
        <v>17</v>
      </c>
      <c r="L7" s="3190" t="s">
        <v>18</v>
      </c>
      <c r="M7" s="2143" t="s">
        <v>19</v>
      </c>
      <c r="N7" s="2143" t="s">
        <v>10</v>
      </c>
      <c r="O7" s="2165" t="s">
        <v>20</v>
      </c>
      <c r="P7" s="2167" t="s">
        <v>21</v>
      </c>
      <c r="Q7" s="2160" t="s">
        <v>22</v>
      </c>
      <c r="R7" s="2160" t="s">
        <v>23</v>
      </c>
      <c r="S7" s="2143" t="s">
        <v>24</v>
      </c>
      <c r="T7" s="2469" t="s">
        <v>21</v>
      </c>
      <c r="U7" s="2169" t="s">
        <v>12</v>
      </c>
      <c r="V7" s="2143" t="s">
        <v>25</v>
      </c>
      <c r="W7" s="3850" t="s">
        <v>26</v>
      </c>
      <c r="X7" s="3851"/>
      <c r="Y7" s="3852" t="s">
        <v>27</v>
      </c>
      <c r="Z7" s="3853"/>
      <c r="AA7" s="3853"/>
      <c r="AB7" s="3853"/>
      <c r="AC7" s="3853"/>
      <c r="AD7" s="3854" t="s">
        <v>28</v>
      </c>
      <c r="AE7" s="3854"/>
      <c r="AF7" s="3854"/>
      <c r="AG7" s="3854"/>
      <c r="AH7" s="3854"/>
      <c r="AI7" s="3854"/>
      <c r="AJ7" s="3852" t="s">
        <v>29</v>
      </c>
      <c r="AK7" s="3853"/>
      <c r="AL7" s="3853"/>
      <c r="AM7" s="3855" t="s">
        <v>30</v>
      </c>
      <c r="AN7" s="2173" t="s">
        <v>31</v>
      </c>
      <c r="AO7" s="2173" t="s">
        <v>32</v>
      </c>
      <c r="AP7" s="2175" t="s">
        <v>33</v>
      </c>
    </row>
    <row r="8" spans="1:57" s="58" customFormat="1" ht="112.5" customHeight="1" x14ac:dyDescent="0.2">
      <c r="A8" s="2170"/>
      <c r="B8" s="2162"/>
      <c r="C8" s="2163"/>
      <c r="D8" s="2163"/>
      <c r="E8" s="2162"/>
      <c r="F8" s="2163"/>
      <c r="G8" s="2163"/>
      <c r="H8" s="2144"/>
      <c r="I8" s="2162"/>
      <c r="J8" s="2144"/>
      <c r="K8" s="2144"/>
      <c r="L8" s="3191"/>
      <c r="M8" s="2144"/>
      <c r="N8" s="2144"/>
      <c r="O8" s="2166"/>
      <c r="P8" s="2168"/>
      <c r="Q8" s="2162"/>
      <c r="R8" s="2162"/>
      <c r="S8" s="2144"/>
      <c r="T8" s="2470"/>
      <c r="U8" s="2170"/>
      <c r="V8" s="2144"/>
      <c r="W8" s="3856" t="s">
        <v>35</v>
      </c>
      <c r="X8" s="3856" t="s">
        <v>36</v>
      </c>
      <c r="Y8" s="187" t="s">
        <v>37</v>
      </c>
      <c r="Z8" s="187" t="s">
        <v>38</v>
      </c>
      <c r="AA8" s="3857" t="s">
        <v>213</v>
      </c>
      <c r="AB8" s="3858"/>
      <c r="AC8" s="187" t="s">
        <v>40</v>
      </c>
      <c r="AD8" s="3859" t="s">
        <v>41</v>
      </c>
      <c r="AE8" s="3859" t="s">
        <v>42</v>
      </c>
      <c r="AF8" s="3859" t="s">
        <v>43</v>
      </c>
      <c r="AG8" s="3859" t="s">
        <v>44</v>
      </c>
      <c r="AH8" s="3859" t="s">
        <v>45</v>
      </c>
      <c r="AI8" s="3859" t="s">
        <v>46</v>
      </c>
      <c r="AJ8" s="187" t="s">
        <v>47</v>
      </c>
      <c r="AK8" s="187" t="s">
        <v>48</v>
      </c>
      <c r="AL8" s="187" t="s">
        <v>49</v>
      </c>
      <c r="AM8" s="3855"/>
      <c r="AN8" s="2174"/>
      <c r="AO8" s="2174"/>
      <c r="AP8" s="2175"/>
    </row>
    <row r="9" spans="1:57" s="58" customFormat="1" ht="24.75" customHeight="1" x14ac:dyDescent="0.2">
      <c r="A9" s="2170"/>
      <c r="B9" s="2162"/>
      <c r="C9" s="2163"/>
      <c r="D9" s="2163"/>
      <c r="E9" s="2162"/>
      <c r="F9" s="2163"/>
      <c r="G9" s="2163"/>
      <c r="H9" s="2449"/>
      <c r="I9" s="2162"/>
      <c r="J9" s="2144"/>
      <c r="K9" s="2449"/>
      <c r="L9" s="3191"/>
      <c r="M9" s="2144"/>
      <c r="N9" s="2144"/>
      <c r="O9" s="2166"/>
      <c r="P9" s="2168"/>
      <c r="Q9" s="2162"/>
      <c r="R9" s="2162"/>
      <c r="S9" s="2144"/>
      <c r="T9" s="2471"/>
      <c r="U9" s="2396"/>
      <c r="V9" s="2144"/>
      <c r="W9" s="2013" t="s">
        <v>325</v>
      </c>
      <c r="X9" s="2013" t="s">
        <v>325</v>
      </c>
      <c r="Y9" s="2013" t="s">
        <v>325</v>
      </c>
      <c r="Z9" s="2013" t="s">
        <v>325</v>
      </c>
      <c r="AA9" s="2013" t="s">
        <v>325</v>
      </c>
      <c r="AB9" s="2013" t="s">
        <v>1036</v>
      </c>
      <c r="AC9" s="2013" t="s">
        <v>325</v>
      </c>
      <c r="AD9" s="2013" t="s">
        <v>325</v>
      </c>
      <c r="AE9" s="2013" t="s">
        <v>325</v>
      </c>
      <c r="AF9" s="2013" t="s">
        <v>325</v>
      </c>
      <c r="AG9" s="2013" t="s">
        <v>325</v>
      </c>
      <c r="AH9" s="2013" t="s">
        <v>325</v>
      </c>
      <c r="AI9" s="2013" t="s">
        <v>325</v>
      </c>
      <c r="AJ9" s="2013" t="s">
        <v>325</v>
      </c>
      <c r="AK9" s="2013" t="s">
        <v>325</v>
      </c>
      <c r="AL9" s="2013" t="s">
        <v>325</v>
      </c>
      <c r="AM9" s="2013" t="s">
        <v>325</v>
      </c>
      <c r="AN9" s="2013" t="s">
        <v>325</v>
      </c>
      <c r="AO9" s="2013" t="s">
        <v>325</v>
      </c>
      <c r="AP9" s="2175"/>
    </row>
    <row r="10" spans="1:57" s="58" customFormat="1" ht="29.25" customHeight="1" x14ac:dyDescent="0.2">
      <c r="A10" s="3860">
        <v>1</v>
      </c>
      <c r="B10" s="3861" t="s">
        <v>1727</v>
      </c>
      <c r="C10" s="3862"/>
      <c r="D10" s="3863"/>
      <c r="E10" s="3864"/>
      <c r="F10" s="3864"/>
      <c r="G10" s="3864"/>
      <c r="H10" s="3864"/>
      <c r="I10" s="3865"/>
      <c r="J10" s="3865"/>
      <c r="K10" s="3864"/>
      <c r="L10" s="3865"/>
      <c r="M10" s="3866"/>
      <c r="N10" s="3867"/>
      <c r="O10" s="3864"/>
      <c r="P10" s="3868"/>
      <c r="Q10" s="3865"/>
      <c r="R10" s="3865"/>
      <c r="S10" s="3869"/>
      <c r="T10" s="3870"/>
      <c r="U10" s="3864"/>
      <c r="V10" s="3865"/>
      <c r="W10" s="3864"/>
      <c r="X10" s="3864"/>
      <c r="Y10" s="3864"/>
      <c r="Z10" s="3864"/>
      <c r="AA10" s="3864"/>
      <c r="AB10" s="3864"/>
      <c r="AC10" s="3864"/>
      <c r="AD10" s="3864"/>
      <c r="AE10" s="3864"/>
      <c r="AF10" s="3871"/>
      <c r="AG10" s="3872"/>
      <c r="AH10" s="3872"/>
      <c r="AI10" s="3872"/>
      <c r="AJ10" s="3872"/>
      <c r="AK10" s="3872"/>
      <c r="AL10" s="3872"/>
      <c r="AM10" s="3872"/>
      <c r="AN10" s="3872"/>
      <c r="AO10" s="3872"/>
      <c r="AP10" s="3873"/>
    </row>
    <row r="11" spans="1:57" s="58" customFormat="1" ht="29.25" customHeight="1" x14ac:dyDescent="0.2">
      <c r="A11" s="3874"/>
      <c r="B11" s="3874"/>
      <c r="C11" s="3874"/>
      <c r="D11" s="1082">
        <v>11</v>
      </c>
      <c r="E11" s="207" t="s">
        <v>1728</v>
      </c>
      <c r="F11" s="208"/>
      <c r="G11" s="209"/>
      <c r="H11" s="209"/>
      <c r="I11" s="210"/>
      <c r="J11" s="210"/>
      <c r="K11" s="211"/>
      <c r="L11" s="652"/>
      <c r="M11" s="3875"/>
      <c r="N11" s="3876"/>
      <c r="O11" s="3877"/>
      <c r="P11" s="3878"/>
      <c r="Q11" s="3879"/>
      <c r="R11" s="208"/>
      <c r="S11" s="3880"/>
      <c r="T11" s="3881"/>
      <c r="U11" s="3882"/>
      <c r="V11" s="3879"/>
      <c r="W11" s="3877"/>
      <c r="X11" s="3877"/>
      <c r="Y11" s="3877"/>
      <c r="Z11" s="3877"/>
      <c r="AA11" s="3877"/>
      <c r="AB11" s="3877"/>
      <c r="AC11" s="3877"/>
      <c r="AD11" s="3877"/>
      <c r="AE11" s="3877"/>
      <c r="AF11" s="3883"/>
      <c r="AG11" s="3877"/>
      <c r="AH11" s="3877"/>
      <c r="AI11" s="3877"/>
      <c r="AJ11" s="3877"/>
      <c r="AK11" s="3877"/>
      <c r="AL11" s="3877"/>
      <c r="AM11" s="3877"/>
      <c r="AN11" s="3877"/>
      <c r="AO11" s="3877"/>
      <c r="AP11" s="3884"/>
    </row>
    <row r="12" spans="1:57" s="58" customFormat="1" ht="51.75" customHeight="1" x14ac:dyDescent="0.2">
      <c r="A12" s="3874"/>
      <c r="B12" s="3874"/>
      <c r="C12" s="3874"/>
      <c r="D12" s="2836"/>
      <c r="E12" s="2836"/>
      <c r="F12" s="2836"/>
      <c r="G12" s="2644" t="s">
        <v>52</v>
      </c>
      <c r="H12" s="3562">
        <v>11.19</v>
      </c>
      <c r="I12" s="2397" t="s">
        <v>1729</v>
      </c>
      <c r="J12" s="2397" t="s">
        <v>1730</v>
      </c>
      <c r="K12" s="3040">
        <v>1</v>
      </c>
      <c r="L12" s="2920" t="s">
        <v>1731</v>
      </c>
      <c r="M12" s="3562" t="s">
        <v>1732</v>
      </c>
      <c r="N12" s="2397" t="s">
        <v>1733</v>
      </c>
      <c r="O12" s="2624">
        <f>SUM(T12:T16)/(P12+P114)</f>
        <v>0.42372881355932202</v>
      </c>
      <c r="P12" s="3565">
        <f>SUM(T12:T16)</f>
        <v>50000000</v>
      </c>
      <c r="Q12" s="2397" t="s">
        <v>1734</v>
      </c>
      <c r="R12" s="3376" t="s">
        <v>1735</v>
      </c>
      <c r="S12" s="2087" t="s">
        <v>1736</v>
      </c>
      <c r="T12" s="3885">
        <f>10000000</f>
        <v>10000000</v>
      </c>
      <c r="U12" s="3886">
        <v>61</v>
      </c>
      <c r="V12" s="3887" t="s">
        <v>1737</v>
      </c>
      <c r="W12" s="3559" t="s">
        <v>1738</v>
      </c>
      <c r="X12" s="3562" t="s">
        <v>1738</v>
      </c>
      <c r="Y12" s="3562">
        <v>64149</v>
      </c>
      <c r="Z12" s="3562" t="s">
        <v>1738</v>
      </c>
      <c r="AA12" s="3562" t="s">
        <v>1738</v>
      </c>
      <c r="AB12" s="3562" t="s">
        <v>1738</v>
      </c>
      <c r="AC12" s="3562" t="s">
        <v>1738</v>
      </c>
      <c r="AD12" s="3562" t="s">
        <v>1738</v>
      </c>
      <c r="AE12" s="3562" t="s">
        <v>1738</v>
      </c>
      <c r="AF12" s="3562" t="s">
        <v>1738</v>
      </c>
      <c r="AG12" s="3563" t="s">
        <v>1738</v>
      </c>
      <c r="AH12" s="3563" t="s">
        <v>1738</v>
      </c>
      <c r="AI12" s="3563" t="s">
        <v>1738</v>
      </c>
      <c r="AJ12" s="3563" t="s">
        <v>1738</v>
      </c>
      <c r="AK12" s="3563" t="s">
        <v>1738</v>
      </c>
      <c r="AL12" s="3563" t="s">
        <v>1738</v>
      </c>
      <c r="AM12" s="3563" t="s">
        <v>1738</v>
      </c>
      <c r="AN12" s="3888">
        <v>43832</v>
      </c>
      <c r="AO12" s="3888">
        <v>44196</v>
      </c>
      <c r="AP12" s="3889" t="s">
        <v>1739</v>
      </c>
    </row>
    <row r="13" spans="1:57" s="58" customFormat="1" ht="51.75" customHeight="1" x14ac:dyDescent="0.2">
      <c r="A13" s="3874"/>
      <c r="B13" s="3874"/>
      <c r="C13" s="3874"/>
      <c r="D13" s="2836"/>
      <c r="E13" s="2836"/>
      <c r="F13" s="2836"/>
      <c r="G13" s="2645"/>
      <c r="H13" s="3563"/>
      <c r="I13" s="2398"/>
      <c r="J13" s="2398"/>
      <c r="K13" s="3040"/>
      <c r="L13" s="2921"/>
      <c r="M13" s="3563"/>
      <c r="N13" s="2398"/>
      <c r="O13" s="2625"/>
      <c r="P13" s="3566"/>
      <c r="Q13" s="2398"/>
      <c r="R13" s="3642"/>
      <c r="S13" s="2087" t="s">
        <v>1740</v>
      </c>
      <c r="T13" s="3885">
        <f>10000000</f>
        <v>10000000</v>
      </c>
      <c r="U13" s="3886">
        <v>61</v>
      </c>
      <c r="V13" s="3887" t="s">
        <v>1737</v>
      </c>
      <c r="W13" s="3560"/>
      <c r="X13" s="3563"/>
      <c r="Y13" s="3563"/>
      <c r="Z13" s="3563"/>
      <c r="AA13" s="3563"/>
      <c r="AB13" s="3563"/>
      <c r="AC13" s="3563"/>
      <c r="AD13" s="3563"/>
      <c r="AE13" s="3563"/>
      <c r="AF13" s="3563"/>
      <c r="AG13" s="3563"/>
      <c r="AH13" s="3563"/>
      <c r="AI13" s="3563"/>
      <c r="AJ13" s="3563"/>
      <c r="AK13" s="3563"/>
      <c r="AL13" s="3563"/>
      <c r="AM13" s="3563"/>
      <c r="AN13" s="3563"/>
      <c r="AO13" s="3563"/>
      <c r="AP13" s="3890"/>
    </row>
    <row r="14" spans="1:57" s="58" customFormat="1" ht="51.75" customHeight="1" x14ac:dyDescent="0.2">
      <c r="A14" s="3874"/>
      <c r="B14" s="3874"/>
      <c r="C14" s="3874"/>
      <c r="D14" s="2836"/>
      <c r="E14" s="2836"/>
      <c r="F14" s="2836"/>
      <c r="G14" s="2645"/>
      <c r="H14" s="3563"/>
      <c r="I14" s="2398"/>
      <c r="J14" s="2398"/>
      <c r="K14" s="3040"/>
      <c r="L14" s="2921"/>
      <c r="M14" s="3563"/>
      <c r="N14" s="2398"/>
      <c r="O14" s="2625"/>
      <c r="P14" s="3566"/>
      <c r="Q14" s="2398"/>
      <c r="R14" s="3642"/>
      <c r="S14" s="2087" t="s">
        <v>1741</v>
      </c>
      <c r="T14" s="3885">
        <f>10000000</f>
        <v>10000000</v>
      </c>
      <c r="U14" s="3886">
        <v>61</v>
      </c>
      <c r="V14" s="3887" t="s">
        <v>1737</v>
      </c>
      <c r="W14" s="3560"/>
      <c r="X14" s="3563"/>
      <c r="Y14" s="3563"/>
      <c r="Z14" s="3563"/>
      <c r="AA14" s="3563"/>
      <c r="AB14" s="3563"/>
      <c r="AC14" s="3563"/>
      <c r="AD14" s="3563"/>
      <c r="AE14" s="3563"/>
      <c r="AF14" s="3563"/>
      <c r="AG14" s="3563"/>
      <c r="AH14" s="3563"/>
      <c r="AI14" s="3563"/>
      <c r="AJ14" s="3563"/>
      <c r="AK14" s="3563"/>
      <c r="AL14" s="3563"/>
      <c r="AM14" s="3563"/>
      <c r="AN14" s="3563"/>
      <c r="AO14" s="3563"/>
      <c r="AP14" s="3890"/>
    </row>
    <row r="15" spans="1:57" s="58" customFormat="1" ht="51.75" customHeight="1" x14ac:dyDescent="0.2">
      <c r="A15" s="3874"/>
      <c r="B15" s="3874"/>
      <c r="C15" s="3874"/>
      <c r="D15" s="2836"/>
      <c r="E15" s="2836"/>
      <c r="F15" s="2836"/>
      <c r="G15" s="2645"/>
      <c r="H15" s="3563"/>
      <c r="I15" s="2398"/>
      <c r="J15" s="2398"/>
      <c r="K15" s="3040"/>
      <c r="L15" s="2921"/>
      <c r="M15" s="3563"/>
      <c r="N15" s="2398"/>
      <c r="O15" s="2625"/>
      <c r="P15" s="3566"/>
      <c r="Q15" s="2398"/>
      <c r="R15" s="3642"/>
      <c r="S15" s="2087" t="s">
        <v>1742</v>
      </c>
      <c r="T15" s="3885">
        <f>10000000</f>
        <v>10000000</v>
      </c>
      <c r="U15" s="3886">
        <v>61</v>
      </c>
      <c r="V15" s="3887" t="s">
        <v>1737</v>
      </c>
      <c r="W15" s="3560"/>
      <c r="X15" s="3563"/>
      <c r="Y15" s="3563"/>
      <c r="Z15" s="3563"/>
      <c r="AA15" s="3563"/>
      <c r="AB15" s="3563"/>
      <c r="AC15" s="3563"/>
      <c r="AD15" s="3563"/>
      <c r="AE15" s="3563"/>
      <c r="AF15" s="3563"/>
      <c r="AG15" s="3563"/>
      <c r="AH15" s="3563"/>
      <c r="AI15" s="3563"/>
      <c r="AJ15" s="3563"/>
      <c r="AK15" s="3563"/>
      <c r="AL15" s="3563"/>
      <c r="AM15" s="3563"/>
      <c r="AN15" s="3563"/>
      <c r="AO15" s="3563"/>
      <c r="AP15" s="3890"/>
    </row>
    <row r="16" spans="1:57" s="58" customFormat="1" ht="51.75" customHeight="1" x14ac:dyDescent="0.2">
      <c r="A16" s="3874"/>
      <c r="B16" s="3874"/>
      <c r="C16" s="3874"/>
      <c r="D16" s="2836"/>
      <c r="E16" s="2836"/>
      <c r="F16" s="2836"/>
      <c r="G16" s="2645"/>
      <c r="H16" s="3563"/>
      <c r="I16" s="2398"/>
      <c r="J16" s="2398"/>
      <c r="K16" s="3040"/>
      <c r="L16" s="2921"/>
      <c r="M16" s="3563"/>
      <c r="N16" s="2398"/>
      <c r="O16" s="2660"/>
      <c r="P16" s="3567"/>
      <c r="Q16" s="2819"/>
      <c r="R16" s="3643"/>
      <c r="S16" s="2087" t="s">
        <v>1743</v>
      </c>
      <c r="T16" s="3885">
        <v>10000000</v>
      </c>
      <c r="U16" s="3886">
        <v>61</v>
      </c>
      <c r="V16" s="3891" t="s">
        <v>1737</v>
      </c>
      <c r="W16" s="3561"/>
      <c r="X16" s="3207"/>
      <c r="Y16" s="3207"/>
      <c r="Z16" s="3207"/>
      <c r="AA16" s="3207"/>
      <c r="AB16" s="3207"/>
      <c r="AC16" s="3207"/>
      <c r="AD16" s="3207"/>
      <c r="AE16" s="3207"/>
      <c r="AF16" s="3207"/>
      <c r="AG16" s="3207"/>
      <c r="AH16" s="3207"/>
      <c r="AI16" s="3207"/>
      <c r="AJ16" s="3207"/>
      <c r="AK16" s="3207"/>
      <c r="AL16" s="3207"/>
      <c r="AM16" s="3207"/>
      <c r="AN16" s="3207"/>
      <c r="AO16" s="3207"/>
      <c r="AP16" s="3892"/>
    </row>
    <row r="17" spans="1:42" s="58" customFormat="1" ht="72.75" customHeight="1" x14ac:dyDescent="0.2">
      <c r="A17" s="3874"/>
      <c r="B17" s="3874"/>
      <c r="C17" s="3874"/>
      <c r="D17" s="2836"/>
      <c r="E17" s="2836"/>
      <c r="F17" s="2836"/>
      <c r="G17" s="3564">
        <v>1903009</v>
      </c>
      <c r="H17" s="3387">
        <v>11.2</v>
      </c>
      <c r="I17" s="3017" t="s">
        <v>1744</v>
      </c>
      <c r="J17" s="3017" t="s">
        <v>1745</v>
      </c>
      <c r="K17" s="3040">
        <v>380</v>
      </c>
      <c r="L17" s="2088"/>
      <c r="M17" s="3101" t="s">
        <v>1746</v>
      </c>
      <c r="N17" s="3017" t="s">
        <v>1747</v>
      </c>
      <c r="O17" s="2624">
        <f>SUM(T17:T19)/P17</f>
        <v>2.768843657330107E-2</v>
      </c>
      <c r="P17" s="3568">
        <f>SUM(T17:T41)</f>
        <v>1314628216.8600001</v>
      </c>
      <c r="Q17" s="3017" t="s">
        <v>1748</v>
      </c>
      <c r="R17" s="2982" t="s">
        <v>1749</v>
      </c>
      <c r="S17" s="2108" t="s">
        <v>1750</v>
      </c>
      <c r="T17" s="3893">
        <v>20000000</v>
      </c>
      <c r="U17" s="2109">
        <v>61</v>
      </c>
      <c r="V17" s="3894" t="s">
        <v>1751</v>
      </c>
      <c r="W17" s="2644">
        <v>289394</v>
      </c>
      <c r="X17" s="2601">
        <v>279112</v>
      </c>
      <c r="Y17" s="2601">
        <v>63164</v>
      </c>
      <c r="Z17" s="2601">
        <v>45607</v>
      </c>
      <c r="AA17" s="2601">
        <v>365607</v>
      </c>
      <c r="AB17" s="2601">
        <f>AA17*0.55</f>
        <v>201083.85</v>
      </c>
      <c r="AC17" s="2601">
        <v>75612</v>
      </c>
      <c r="AD17" s="2601">
        <v>2145</v>
      </c>
      <c r="AE17" s="2601">
        <v>12718</v>
      </c>
      <c r="AF17" s="2601">
        <v>26</v>
      </c>
      <c r="AG17" s="2601">
        <v>37</v>
      </c>
      <c r="AH17" s="2601">
        <v>0</v>
      </c>
      <c r="AI17" s="2601">
        <v>0</v>
      </c>
      <c r="AJ17" s="2601">
        <v>78</v>
      </c>
      <c r="AK17" s="2601">
        <v>16897</v>
      </c>
      <c r="AL17" s="2601">
        <v>852</v>
      </c>
      <c r="AM17" s="2601">
        <v>568506</v>
      </c>
      <c r="AN17" s="3494">
        <v>43832</v>
      </c>
      <c r="AO17" s="3494">
        <v>44196</v>
      </c>
      <c r="AP17" s="2397" t="s">
        <v>1739</v>
      </c>
    </row>
    <row r="18" spans="1:42" s="58" customFormat="1" ht="72.75" customHeight="1" x14ac:dyDescent="0.2">
      <c r="A18" s="3874"/>
      <c r="B18" s="3874"/>
      <c r="C18" s="3874"/>
      <c r="D18" s="2836"/>
      <c r="E18" s="2836"/>
      <c r="F18" s="2836"/>
      <c r="G18" s="3564"/>
      <c r="H18" s="3387"/>
      <c r="I18" s="3017"/>
      <c r="J18" s="3017"/>
      <c r="K18" s="3040"/>
      <c r="L18" s="2089"/>
      <c r="M18" s="3101"/>
      <c r="N18" s="3017"/>
      <c r="O18" s="2625"/>
      <c r="P18" s="3568"/>
      <c r="Q18" s="3017"/>
      <c r="R18" s="2878"/>
      <c r="S18" s="2108" t="s">
        <v>1752</v>
      </c>
      <c r="T18" s="3893">
        <f>20000000-11200000</f>
        <v>8800000</v>
      </c>
      <c r="U18" s="2109">
        <v>61</v>
      </c>
      <c r="V18" s="3894" t="s">
        <v>1751</v>
      </c>
      <c r="W18" s="2645"/>
      <c r="X18" s="2602"/>
      <c r="Y18" s="2602"/>
      <c r="Z18" s="2602"/>
      <c r="AA18" s="2602"/>
      <c r="AB18" s="2602"/>
      <c r="AC18" s="2602"/>
      <c r="AD18" s="2602"/>
      <c r="AE18" s="2602"/>
      <c r="AF18" s="2602"/>
      <c r="AG18" s="2602"/>
      <c r="AH18" s="2602"/>
      <c r="AI18" s="2602"/>
      <c r="AJ18" s="2602"/>
      <c r="AK18" s="2602"/>
      <c r="AL18" s="2602"/>
      <c r="AM18" s="2602"/>
      <c r="AN18" s="2602"/>
      <c r="AO18" s="2602"/>
      <c r="AP18" s="2398"/>
    </row>
    <row r="19" spans="1:42" s="58" customFormat="1" ht="72.75" customHeight="1" x14ac:dyDescent="0.2">
      <c r="A19" s="3874"/>
      <c r="B19" s="3874"/>
      <c r="C19" s="3874"/>
      <c r="D19" s="2836"/>
      <c r="E19" s="2836"/>
      <c r="F19" s="2836"/>
      <c r="G19" s="3564"/>
      <c r="H19" s="3387"/>
      <c r="I19" s="3017"/>
      <c r="J19" s="3017"/>
      <c r="K19" s="3040"/>
      <c r="L19" s="2089"/>
      <c r="M19" s="3101"/>
      <c r="N19" s="3017"/>
      <c r="O19" s="2660"/>
      <c r="P19" s="3568"/>
      <c r="Q19" s="3017"/>
      <c r="R19" s="2878"/>
      <c r="S19" s="2108" t="s">
        <v>1753</v>
      </c>
      <c r="T19" s="3893">
        <f>30000000-22400000</f>
        <v>7600000</v>
      </c>
      <c r="U19" s="2109">
        <v>61</v>
      </c>
      <c r="V19" s="3894" t="s">
        <v>1751</v>
      </c>
      <c r="W19" s="2645"/>
      <c r="X19" s="2602"/>
      <c r="Y19" s="2602"/>
      <c r="Z19" s="2602"/>
      <c r="AA19" s="2602"/>
      <c r="AB19" s="2602"/>
      <c r="AC19" s="2602"/>
      <c r="AD19" s="2602"/>
      <c r="AE19" s="2602"/>
      <c r="AF19" s="2602"/>
      <c r="AG19" s="2602"/>
      <c r="AH19" s="2602"/>
      <c r="AI19" s="2602"/>
      <c r="AJ19" s="2602"/>
      <c r="AK19" s="2602"/>
      <c r="AL19" s="2602"/>
      <c r="AM19" s="2602"/>
      <c r="AN19" s="2602"/>
      <c r="AO19" s="2602"/>
      <c r="AP19" s="2398"/>
    </row>
    <row r="20" spans="1:42" s="58" customFormat="1" ht="83.25" customHeight="1" x14ac:dyDescent="0.2">
      <c r="A20" s="3874"/>
      <c r="B20" s="3874"/>
      <c r="C20" s="3874"/>
      <c r="D20" s="2836"/>
      <c r="E20" s="2836"/>
      <c r="F20" s="2836"/>
      <c r="G20" s="3457">
        <v>1903023</v>
      </c>
      <c r="H20" s="3569">
        <v>11.9</v>
      </c>
      <c r="I20" s="3017" t="s">
        <v>1754</v>
      </c>
      <c r="J20" s="3017" t="s">
        <v>1755</v>
      </c>
      <c r="K20" s="3040">
        <v>12</v>
      </c>
      <c r="L20" s="2089"/>
      <c r="M20" s="3101"/>
      <c r="N20" s="3017"/>
      <c r="O20" s="2624">
        <f>SUM(T20:T22)/P17</f>
        <v>8.5195189456310997E-3</v>
      </c>
      <c r="P20" s="3101"/>
      <c r="Q20" s="3017"/>
      <c r="R20" s="2878"/>
      <c r="S20" s="2115" t="s">
        <v>1756</v>
      </c>
      <c r="T20" s="3893">
        <f>15000000-11000000</f>
        <v>4000000</v>
      </c>
      <c r="U20" s="2109">
        <v>61</v>
      </c>
      <c r="V20" s="3894" t="s">
        <v>1751</v>
      </c>
      <c r="W20" s="2645"/>
      <c r="X20" s="2602"/>
      <c r="Y20" s="2602"/>
      <c r="Z20" s="2602"/>
      <c r="AA20" s="2602"/>
      <c r="AB20" s="2602"/>
      <c r="AC20" s="2602"/>
      <c r="AD20" s="2602"/>
      <c r="AE20" s="2602"/>
      <c r="AF20" s="2602"/>
      <c r="AG20" s="2602"/>
      <c r="AH20" s="2602"/>
      <c r="AI20" s="2602"/>
      <c r="AJ20" s="2602"/>
      <c r="AK20" s="2602"/>
      <c r="AL20" s="2602"/>
      <c r="AM20" s="2602"/>
      <c r="AN20" s="2602"/>
      <c r="AO20" s="2602"/>
      <c r="AP20" s="2398"/>
    </row>
    <row r="21" spans="1:42" s="58" customFormat="1" ht="83.25" customHeight="1" x14ac:dyDescent="0.2">
      <c r="A21" s="3874"/>
      <c r="B21" s="3874"/>
      <c r="C21" s="3874"/>
      <c r="D21" s="2836"/>
      <c r="E21" s="2836"/>
      <c r="F21" s="2836"/>
      <c r="G21" s="3564"/>
      <c r="H21" s="3387"/>
      <c r="I21" s="3017"/>
      <c r="J21" s="3017"/>
      <c r="K21" s="3040"/>
      <c r="L21" s="2089"/>
      <c r="M21" s="3101"/>
      <c r="N21" s="3017"/>
      <c r="O21" s="2625"/>
      <c r="P21" s="3101"/>
      <c r="Q21" s="3017"/>
      <c r="R21" s="2878"/>
      <c r="S21" s="2115" t="s">
        <v>1758</v>
      </c>
      <c r="T21" s="3893">
        <f>15000000-11000000</f>
        <v>4000000</v>
      </c>
      <c r="U21" s="2109">
        <v>61</v>
      </c>
      <c r="V21" s="3894" t="s">
        <v>1751</v>
      </c>
      <c r="W21" s="2645"/>
      <c r="X21" s="2602"/>
      <c r="Y21" s="2602"/>
      <c r="Z21" s="2602"/>
      <c r="AA21" s="2602"/>
      <c r="AB21" s="2602"/>
      <c r="AC21" s="2602"/>
      <c r="AD21" s="2602"/>
      <c r="AE21" s="2602"/>
      <c r="AF21" s="2602"/>
      <c r="AG21" s="2602"/>
      <c r="AH21" s="2602"/>
      <c r="AI21" s="2602"/>
      <c r="AJ21" s="2602"/>
      <c r="AK21" s="2602"/>
      <c r="AL21" s="2602"/>
      <c r="AM21" s="2602"/>
      <c r="AN21" s="2602"/>
      <c r="AO21" s="2602"/>
      <c r="AP21" s="2398"/>
    </row>
    <row r="22" spans="1:42" s="58" customFormat="1" ht="83.25" customHeight="1" x14ac:dyDescent="0.2">
      <c r="A22" s="3874"/>
      <c r="B22" s="3874"/>
      <c r="C22" s="3874"/>
      <c r="D22" s="2836"/>
      <c r="E22" s="2836"/>
      <c r="F22" s="2836"/>
      <c r="G22" s="3456"/>
      <c r="H22" s="3391"/>
      <c r="I22" s="3017"/>
      <c r="J22" s="3017"/>
      <c r="K22" s="3040"/>
      <c r="L22" s="2089"/>
      <c r="M22" s="3101"/>
      <c r="N22" s="3017"/>
      <c r="O22" s="2660"/>
      <c r="P22" s="3101"/>
      <c r="Q22" s="3017"/>
      <c r="R22" s="2878"/>
      <c r="S22" s="2115" t="s">
        <v>1759</v>
      </c>
      <c r="T22" s="3893">
        <f>49027688.86-45827688.86</f>
        <v>3200000</v>
      </c>
      <c r="U22" s="2109">
        <v>61</v>
      </c>
      <c r="V22" s="3894" t="s">
        <v>1751</v>
      </c>
      <c r="W22" s="2645"/>
      <c r="X22" s="2602"/>
      <c r="Y22" s="2602"/>
      <c r="Z22" s="2602"/>
      <c r="AA22" s="2602"/>
      <c r="AB22" s="2602"/>
      <c r="AC22" s="2602"/>
      <c r="AD22" s="2602"/>
      <c r="AE22" s="2602"/>
      <c r="AF22" s="2602"/>
      <c r="AG22" s="2602"/>
      <c r="AH22" s="2602"/>
      <c r="AI22" s="2602"/>
      <c r="AJ22" s="2602"/>
      <c r="AK22" s="2602"/>
      <c r="AL22" s="2602"/>
      <c r="AM22" s="2602"/>
      <c r="AN22" s="2602"/>
      <c r="AO22" s="2602"/>
      <c r="AP22" s="2398"/>
    </row>
    <row r="23" spans="1:42" s="58" customFormat="1" ht="75" customHeight="1" x14ac:dyDescent="0.2">
      <c r="A23" s="3874"/>
      <c r="B23" s="3874"/>
      <c r="C23" s="3874"/>
      <c r="D23" s="2836"/>
      <c r="E23" s="2836"/>
      <c r="F23" s="2836"/>
      <c r="G23" s="3564" t="s">
        <v>52</v>
      </c>
      <c r="H23" s="3387">
        <v>11.18</v>
      </c>
      <c r="I23" s="3017" t="s">
        <v>1760</v>
      </c>
      <c r="J23" s="3017" t="s">
        <v>1761</v>
      </c>
      <c r="K23" s="3040">
        <v>12</v>
      </c>
      <c r="L23" s="2089"/>
      <c r="M23" s="3101"/>
      <c r="N23" s="3017"/>
      <c r="O23" s="2624">
        <f>SUM(T23:T26)/P17</f>
        <v>5.1953852141661074E-2</v>
      </c>
      <c r="P23" s="3101"/>
      <c r="Q23" s="3017"/>
      <c r="R23" s="2878"/>
      <c r="S23" s="2115" t="s">
        <v>1762</v>
      </c>
      <c r="T23" s="3893">
        <v>30000000</v>
      </c>
      <c r="U23" s="2109">
        <v>61</v>
      </c>
      <c r="V23" s="3894" t="s">
        <v>1751</v>
      </c>
      <c r="W23" s="2645"/>
      <c r="X23" s="2602"/>
      <c r="Y23" s="2602"/>
      <c r="Z23" s="2602"/>
      <c r="AA23" s="2602"/>
      <c r="AB23" s="2602"/>
      <c r="AC23" s="2602"/>
      <c r="AD23" s="2602"/>
      <c r="AE23" s="2602"/>
      <c r="AF23" s="2602"/>
      <c r="AG23" s="2602"/>
      <c r="AH23" s="2602"/>
      <c r="AI23" s="2602"/>
      <c r="AJ23" s="2602"/>
      <c r="AK23" s="2602"/>
      <c r="AL23" s="2602"/>
      <c r="AM23" s="2602"/>
      <c r="AN23" s="2602"/>
      <c r="AO23" s="2602"/>
      <c r="AP23" s="2398"/>
    </row>
    <row r="24" spans="1:42" s="58" customFormat="1" ht="75" customHeight="1" x14ac:dyDescent="0.2">
      <c r="A24" s="3874"/>
      <c r="B24" s="3874"/>
      <c r="C24" s="3874"/>
      <c r="D24" s="2836"/>
      <c r="E24" s="2836"/>
      <c r="F24" s="2836"/>
      <c r="G24" s="3564"/>
      <c r="H24" s="3387"/>
      <c r="I24" s="3017"/>
      <c r="J24" s="3017"/>
      <c r="K24" s="3040"/>
      <c r="L24" s="2089"/>
      <c r="M24" s="3101"/>
      <c r="N24" s="3017"/>
      <c r="O24" s="2625"/>
      <c r="P24" s="3101"/>
      <c r="Q24" s="3017"/>
      <c r="R24" s="2878"/>
      <c r="S24" s="2115" t="s">
        <v>1763</v>
      </c>
      <c r="T24" s="3893">
        <v>20000000</v>
      </c>
      <c r="U24" s="2109">
        <v>61</v>
      </c>
      <c r="V24" s="3894" t="s">
        <v>1751</v>
      </c>
      <c r="W24" s="2645"/>
      <c r="X24" s="2602"/>
      <c r="Y24" s="2602"/>
      <c r="Z24" s="2602"/>
      <c r="AA24" s="2602"/>
      <c r="AB24" s="2602"/>
      <c r="AC24" s="2602"/>
      <c r="AD24" s="2602"/>
      <c r="AE24" s="2602"/>
      <c r="AF24" s="2602"/>
      <c r="AG24" s="2602"/>
      <c r="AH24" s="2602"/>
      <c r="AI24" s="2602"/>
      <c r="AJ24" s="2602"/>
      <c r="AK24" s="2602"/>
      <c r="AL24" s="2602"/>
      <c r="AM24" s="2602"/>
      <c r="AN24" s="2602"/>
      <c r="AO24" s="2602"/>
      <c r="AP24" s="2398"/>
    </row>
    <row r="25" spans="1:42" s="58" customFormat="1" ht="75" customHeight="1" x14ac:dyDescent="0.2">
      <c r="A25" s="3874"/>
      <c r="B25" s="3874"/>
      <c r="C25" s="3874"/>
      <c r="D25" s="2836"/>
      <c r="E25" s="2836"/>
      <c r="F25" s="2836"/>
      <c r="G25" s="3564"/>
      <c r="H25" s="3387"/>
      <c r="I25" s="3017"/>
      <c r="J25" s="3017"/>
      <c r="K25" s="3040"/>
      <c r="L25" s="2089"/>
      <c r="M25" s="3101"/>
      <c r="N25" s="3017"/>
      <c r="O25" s="2625"/>
      <c r="P25" s="3101"/>
      <c r="Q25" s="3017"/>
      <c r="R25" s="2878"/>
      <c r="S25" s="2115" t="s">
        <v>1764</v>
      </c>
      <c r="T25" s="3893">
        <v>10000000</v>
      </c>
      <c r="U25" s="2109">
        <v>61</v>
      </c>
      <c r="V25" s="3894" t="s">
        <v>1751</v>
      </c>
      <c r="W25" s="2645"/>
      <c r="X25" s="2602"/>
      <c r="Y25" s="2602"/>
      <c r="Z25" s="2602"/>
      <c r="AA25" s="2602"/>
      <c r="AB25" s="2602"/>
      <c r="AC25" s="2602"/>
      <c r="AD25" s="2602"/>
      <c r="AE25" s="2602"/>
      <c r="AF25" s="2602"/>
      <c r="AG25" s="2602"/>
      <c r="AH25" s="2602"/>
      <c r="AI25" s="2602"/>
      <c r="AJ25" s="2602"/>
      <c r="AK25" s="2602"/>
      <c r="AL25" s="2602"/>
      <c r="AM25" s="2602"/>
      <c r="AN25" s="2602"/>
      <c r="AO25" s="2602"/>
      <c r="AP25" s="2398"/>
    </row>
    <row r="26" spans="1:42" s="58" customFormat="1" ht="75" customHeight="1" x14ac:dyDescent="0.2">
      <c r="A26" s="3874"/>
      <c r="B26" s="3874"/>
      <c r="C26" s="3874"/>
      <c r="D26" s="2836"/>
      <c r="E26" s="2836"/>
      <c r="F26" s="2836"/>
      <c r="G26" s="3564"/>
      <c r="H26" s="3387"/>
      <c r="I26" s="3017"/>
      <c r="J26" s="3017"/>
      <c r="K26" s="3040"/>
      <c r="L26" s="2089"/>
      <c r="M26" s="3101"/>
      <c r="N26" s="3017"/>
      <c r="O26" s="2660"/>
      <c r="P26" s="3101"/>
      <c r="Q26" s="3017"/>
      <c r="R26" s="2878"/>
      <c r="S26" s="2115" t="s">
        <v>1765</v>
      </c>
      <c r="T26" s="3893">
        <v>8300000</v>
      </c>
      <c r="U26" s="2109">
        <v>61</v>
      </c>
      <c r="V26" s="3894" t="s">
        <v>1751</v>
      </c>
      <c r="W26" s="2645"/>
      <c r="X26" s="2602"/>
      <c r="Y26" s="2602"/>
      <c r="Z26" s="2602"/>
      <c r="AA26" s="2602"/>
      <c r="AB26" s="2602"/>
      <c r="AC26" s="2602"/>
      <c r="AD26" s="2602"/>
      <c r="AE26" s="2602"/>
      <c r="AF26" s="2602"/>
      <c r="AG26" s="2602"/>
      <c r="AH26" s="2602"/>
      <c r="AI26" s="2602"/>
      <c r="AJ26" s="2602"/>
      <c r="AK26" s="2602"/>
      <c r="AL26" s="2602"/>
      <c r="AM26" s="2602"/>
      <c r="AN26" s="2602"/>
      <c r="AO26" s="2602"/>
      <c r="AP26" s="2398"/>
    </row>
    <row r="27" spans="1:42" s="58" customFormat="1" ht="81.75" customHeight="1" x14ac:dyDescent="0.2">
      <c r="A27" s="3874"/>
      <c r="B27" s="3874"/>
      <c r="C27" s="3874"/>
      <c r="D27" s="2836"/>
      <c r="E27" s="2836"/>
      <c r="F27" s="2836"/>
      <c r="G27" s="2645" t="s">
        <v>52</v>
      </c>
      <c r="H27" s="3421">
        <v>11.19</v>
      </c>
      <c r="I27" s="3017" t="s">
        <v>1729</v>
      </c>
      <c r="J27" s="3017" t="s">
        <v>1730</v>
      </c>
      <c r="K27" s="3040">
        <v>1</v>
      </c>
      <c r="L27" s="2089"/>
      <c r="M27" s="3101"/>
      <c r="N27" s="3017"/>
      <c r="O27" s="2624">
        <f>SUM(T27:T33)/P17</f>
        <v>0.8795857277595176</v>
      </c>
      <c r="P27" s="3101"/>
      <c r="Q27" s="3017"/>
      <c r="R27" s="2878"/>
      <c r="S27" s="2115" t="s">
        <v>1766</v>
      </c>
      <c r="T27" s="3895">
        <v>40000000</v>
      </c>
      <c r="U27" s="2109">
        <v>63</v>
      </c>
      <c r="V27" s="3894" t="s">
        <v>1767</v>
      </c>
      <c r="W27" s="2645"/>
      <c r="X27" s="2602"/>
      <c r="Y27" s="2602"/>
      <c r="Z27" s="2602"/>
      <c r="AA27" s="2602"/>
      <c r="AB27" s="2602"/>
      <c r="AC27" s="2602"/>
      <c r="AD27" s="2602"/>
      <c r="AE27" s="2602"/>
      <c r="AF27" s="2602"/>
      <c r="AG27" s="2602"/>
      <c r="AH27" s="2602"/>
      <c r="AI27" s="2602"/>
      <c r="AJ27" s="2602"/>
      <c r="AK27" s="2602"/>
      <c r="AL27" s="2602"/>
      <c r="AM27" s="2602"/>
      <c r="AN27" s="2602"/>
      <c r="AO27" s="2602"/>
      <c r="AP27" s="2398"/>
    </row>
    <row r="28" spans="1:42" s="58" customFormat="1" ht="52.5" customHeight="1" x14ac:dyDescent="0.2">
      <c r="A28" s="3874"/>
      <c r="B28" s="3874"/>
      <c r="C28" s="3874"/>
      <c r="D28" s="2836"/>
      <c r="E28" s="2836"/>
      <c r="F28" s="2836"/>
      <c r="G28" s="2645"/>
      <c r="H28" s="3421"/>
      <c r="I28" s="3017"/>
      <c r="J28" s="3017"/>
      <c r="K28" s="3040"/>
      <c r="L28" s="2089" t="s">
        <v>2383</v>
      </c>
      <c r="M28" s="3101"/>
      <c r="N28" s="3017"/>
      <c r="O28" s="2625"/>
      <c r="P28" s="3101"/>
      <c r="Q28" s="3017"/>
      <c r="R28" s="2878"/>
      <c r="S28" s="2115" t="s">
        <v>1768</v>
      </c>
      <c r="T28" s="3895">
        <v>60000000</v>
      </c>
      <c r="U28" s="2109">
        <v>63</v>
      </c>
      <c r="V28" s="3894" t="s">
        <v>1767</v>
      </c>
      <c r="W28" s="2645"/>
      <c r="X28" s="2602"/>
      <c r="Y28" s="2602"/>
      <c r="Z28" s="2602"/>
      <c r="AA28" s="2602"/>
      <c r="AB28" s="2602"/>
      <c r="AC28" s="2602"/>
      <c r="AD28" s="2602"/>
      <c r="AE28" s="2602"/>
      <c r="AF28" s="2602"/>
      <c r="AG28" s="2602"/>
      <c r="AH28" s="2602"/>
      <c r="AI28" s="2602"/>
      <c r="AJ28" s="2602"/>
      <c r="AK28" s="2602"/>
      <c r="AL28" s="2602"/>
      <c r="AM28" s="2602"/>
      <c r="AN28" s="2602"/>
      <c r="AO28" s="2602"/>
      <c r="AP28" s="2398"/>
    </row>
    <row r="29" spans="1:42" s="58" customFormat="1" ht="52.5" customHeight="1" x14ac:dyDescent="0.2">
      <c r="A29" s="3874"/>
      <c r="B29" s="3874"/>
      <c r="C29" s="3874"/>
      <c r="D29" s="2836"/>
      <c r="E29" s="2836"/>
      <c r="F29" s="2836"/>
      <c r="G29" s="2645"/>
      <c r="H29" s="3421"/>
      <c r="I29" s="3017"/>
      <c r="J29" s="3017"/>
      <c r="K29" s="3040"/>
      <c r="L29" s="2089" t="s">
        <v>2384</v>
      </c>
      <c r="M29" s="3101"/>
      <c r="N29" s="3017"/>
      <c r="O29" s="2625"/>
      <c r="P29" s="3101"/>
      <c r="Q29" s="3017"/>
      <c r="R29" s="2878"/>
      <c r="S29" s="2115" t="s">
        <v>2385</v>
      </c>
      <c r="T29" s="3895">
        <v>21000000</v>
      </c>
      <c r="U29" s="2109">
        <v>63</v>
      </c>
      <c r="V29" s="3894" t="s">
        <v>1767</v>
      </c>
      <c r="W29" s="2645"/>
      <c r="X29" s="2602"/>
      <c r="Y29" s="2602"/>
      <c r="Z29" s="2602"/>
      <c r="AA29" s="2602"/>
      <c r="AB29" s="2602"/>
      <c r="AC29" s="2602"/>
      <c r="AD29" s="2602"/>
      <c r="AE29" s="2602"/>
      <c r="AF29" s="2602"/>
      <c r="AG29" s="2602"/>
      <c r="AH29" s="2602"/>
      <c r="AI29" s="2602"/>
      <c r="AJ29" s="2602"/>
      <c r="AK29" s="2602"/>
      <c r="AL29" s="2602"/>
      <c r="AM29" s="2602"/>
      <c r="AN29" s="2602"/>
      <c r="AO29" s="2602"/>
      <c r="AP29" s="2398"/>
    </row>
    <row r="30" spans="1:42" s="58" customFormat="1" ht="52.5" customHeight="1" x14ac:dyDescent="0.2">
      <c r="A30" s="3874"/>
      <c r="B30" s="3874"/>
      <c r="C30" s="3874"/>
      <c r="D30" s="2836"/>
      <c r="E30" s="2836"/>
      <c r="F30" s="2836"/>
      <c r="G30" s="2645"/>
      <c r="H30" s="3421"/>
      <c r="I30" s="3017"/>
      <c r="J30" s="3017"/>
      <c r="K30" s="3040"/>
      <c r="L30" s="2089" t="s">
        <v>2386</v>
      </c>
      <c r="M30" s="3101"/>
      <c r="N30" s="3017"/>
      <c r="O30" s="2625"/>
      <c r="P30" s="3101"/>
      <c r="Q30" s="3017"/>
      <c r="R30" s="2878"/>
      <c r="S30" s="2115" t="s">
        <v>1769</v>
      </c>
      <c r="T30" s="3895">
        <v>24000000</v>
      </c>
      <c r="U30" s="2109">
        <v>63</v>
      </c>
      <c r="V30" s="3894" t="s">
        <v>1767</v>
      </c>
      <c r="W30" s="2645"/>
      <c r="X30" s="2602"/>
      <c r="Y30" s="2602"/>
      <c r="Z30" s="2602"/>
      <c r="AA30" s="2602"/>
      <c r="AB30" s="2602"/>
      <c r="AC30" s="2602"/>
      <c r="AD30" s="2602"/>
      <c r="AE30" s="2602"/>
      <c r="AF30" s="2602"/>
      <c r="AG30" s="2602"/>
      <c r="AH30" s="2602"/>
      <c r="AI30" s="2602"/>
      <c r="AJ30" s="2602"/>
      <c r="AK30" s="2602"/>
      <c r="AL30" s="2602"/>
      <c r="AM30" s="2602"/>
      <c r="AN30" s="2602"/>
      <c r="AO30" s="2602"/>
      <c r="AP30" s="2398"/>
    </row>
    <row r="31" spans="1:42" s="58" customFormat="1" ht="30" customHeight="1" x14ac:dyDescent="0.2">
      <c r="A31" s="3874"/>
      <c r="B31" s="3874"/>
      <c r="C31" s="3874"/>
      <c r="D31" s="2836"/>
      <c r="E31" s="2836"/>
      <c r="F31" s="2836"/>
      <c r="G31" s="2645"/>
      <c r="H31" s="3421"/>
      <c r="I31" s="3017"/>
      <c r="J31" s="3017"/>
      <c r="K31" s="3040"/>
      <c r="L31" s="2089" t="s">
        <v>2387</v>
      </c>
      <c r="M31" s="3101"/>
      <c r="N31" s="3017"/>
      <c r="O31" s="2625"/>
      <c r="P31" s="3101"/>
      <c r="Q31" s="3017"/>
      <c r="R31" s="2878"/>
      <c r="S31" s="3570" t="s">
        <v>1770</v>
      </c>
      <c r="T31" s="3895">
        <v>682300528</v>
      </c>
      <c r="U31" s="2109">
        <v>63</v>
      </c>
      <c r="V31" s="3894" t="s">
        <v>1767</v>
      </c>
      <c r="W31" s="2645"/>
      <c r="X31" s="2602"/>
      <c r="Y31" s="2602"/>
      <c r="Z31" s="2602"/>
      <c r="AA31" s="2602"/>
      <c r="AB31" s="2602"/>
      <c r="AC31" s="2602"/>
      <c r="AD31" s="2602"/>
      <c r="AE31" s="2602"/>
      <c r="AF31" s="2602"/>
      <c r="AG31" s="2602"/>
      <c r="AH31" s="2602"/>
      <c r="AI31" s="2602"/>
      <c r="AJ31" s="2602"/>
      <c r="AK31" s="2602"/>
      <c r="AL31" s="2602"/>
      <c r="AM31" s="2602"/>
      <c r="AN31" s="2602"/>
      <c r="AO31" s="2602"/>
      <c r="AP31" s="2398"/>
    </row>
    <row r="32" spans="1:42" s="58" customFormat="1" ht="30" customHeight="1" x14ac:dyDescent="0.2">
      <c r="A32" s="3874"/>
      <c r="B32" s="3874"/>
      <c r="C32" s="3874"/>
      <c r="D32" s="2836"/>
      <c r="E32" s="2836"/>
      <c r="F32" s="2836"/>
      <c r="G32" s="2645"/>
      <c r="H32" s="3421"/>
      <c r="I32" s="3017"/>
      <c r="J32" s="3017"/>
      <c r="K32" s="3040"/>
      <c r="L32" s="2089" t="s">
        <v>2388</v>
      </c>
      <c r="M32" s="3101"/>
      <c r="N32" s="3017"/>
      <c r="O32" s="2625"/>
      <c r="P32" s="3101"/>
      <c r="Q32" s="3017"/>
      <c r="R32" s="2878"/>
      <c r="S32" s="3571"/>
      <c r="T32" s="3896">
        <v>269027688.86000001</v>
      </c>
      <c r="U32" s="2109">
        <v>99</v>
      </c>
      <c r="V32" s="3897" t="s">
        <v>1757</v>
      </c>
      <c r="W32" s="2645"/>
      <c r="X32" s="2602"/>
      <c r="Y32" s="2602"/>
      <c r="Z32" s="2602"/>
      <c r="AA32" s="2602"/>
      <c r="AB32" s="2602"/>
      <c r="AC32" s="2602"/>
      <c r="AD32" s="2602"/>
      <c r="AE32" s="2602"/>
      <c r="AF32" s="2602"/>
      <c r="AG32" s="2602"/>
      <c r="AH32" s="2602"/>
      <c r="AI32" s="2602"/>
      <c r="AJ32" s="2602"/>
      <c r="AK32" s="2602"/>
      <c r="AL32" s="2602"/>
      <c r="AM32" s="2602"/>
      <c r="AN32" s="2602"/>
      <c r="AO32" s="2602"/>
      <c r="AP32" s="2398"/>
    </row>
    <row r="33" spans="1:42" s="58" customFormat="1" ht="47.25" customHeight="1" x14ac:dyDescent="0.2">
      <c r="A33" s="3874"/>
      <c r="B33" s="3874"/>
      <c r="C33" s="3874"/>
      <c r="D33" s="2836"/>
      <c r="E33" s="2836"/>
      <c r="F33" s="2836"/>
      <c r="G33" s="2646"/>
      <c r="H33" s="3577"/>
      <c r="I33" s="3017"/>
      <c r="J33" s="3017"/>
      <c r="K33" s="3040"/>
      <c r="L33" s="2089"/>
      <c r="M33" s="3101"/>
      <c r="N33" s="3017"/>
      <c r="O33" s="2660"/>
      <c r="P33" s="3101"/>
      <c r="Q33" s="3017"/>
      <c r="R33" s="2347"/>
      <c r="S33" s="2103" t="s">
        <v>1771</v>
      </c>
      <c r="T33" s="3898">
        <f>0+60000000</f>
        <v>60000000</v>
      </c>
      <c r="U33" s="2116">
        <v>99</v>
      </c>
      <c r="V33" s="3897" t="s">
        <v>1757</v>
      </c>
      <c r="W33" s="2645"/>
      <c r="X33" s="2602"/>
      <c r="Y33" s="2602"/>
      <c r="Z33" s="2602"/>
      <c r="AA33" s="2602"/>
      <c r="AB33" s="2602"/>
      <c r="AC33" s="2602"/>
      <c r="AD33" s="2602"/>
      <c r="AE33" s="2602"/>
      <c r="AF33" s="2602"/>
      <c r="AG33" s="2602"/>
      <c r="AH33" s="2602"/>
      <c r="AI33" s="2602"/>
      <c r="AJ33" s="2602"/>
      <c r="AK33" s="2602"/>
      <c r="AL33" s="2602"/>
      <c r="AM33" s="2602"/>
      <c r="AN33" s="2602"/>
      <c r="AO33" s="2602"/>
      <c r="AP33" s="2398"/>
    </row>
    <row r="34" spans="1:42" s="58" customFormat="1" ht="90" customHeight="1" x14ac:dyDescent="0.2">
      <c r="A34" s="3874"/>
      <c r="B34" s="3874"/>
      <c r="C34" s="3874"/>
      <c r="D34" s="2836"/>
      <c r="E34" s="2836"/>
      <c r="F34" s="2836"/>
      <c r="G34" s="2100">
        <v>1903038</v>
      </c>
      <c r="H34" s="2128">
        <v>11.15</v>
      </c>
      <c r="I34" s="2115" t="s">
        <v>1772</v>
      </c>
      <c r="J34" s="2115" t="s">
        <v>1773</v>
      </c>
      <c r="K34" s="2116">
        <v>11</v>
      </c>
      <c r="L34" s="2089"/>
      <c r="M34" s="3101"/>
      <c r="N34" s="3017"/>
      <c r="O34" s="1017">
        <f>SUM(T34)/P17</f>
        <v>8.5195189456310997E-3</v>
      </c>
      <c r="P34" s="3101"/>
      <c r="Q34" s="3017"/>
      <c r="R34" s="2878"/>
      <c r="S34" s="2108" t="s">
        <v>1774</v>
      </c>
      <c r="T34" s="3899">
        <f>50000000-38800000</f>
        <v>11200000</v>
      </c>
      <c r="U34" s="2109">
        <v>61</v>
      </c>
      <c r="V34" s="3894" t="s">
        <v>1751</v>
      </c>
      <c r="W34" s="2645"/>
      <c r="X34" s="2602"/>
      <c r="Y34" s="2602"/>
      <c r="Z34" s="2602"/>
      <c r="AA34" s="2602"/>
      <c r="AB34" s="2602"/>
      <c r="AC34" s="2602"/>
      <c r="AD34" s="2602"/>
      <c r="AE34" s="2602"/>
      <c r="AF34" s="2602"/>
      <c r="AG34" s="2602"/>
      <c r="AH34" s="2602"/>
      <c r="AI34" s="2602"/>
      <c r="AJ34" s="2602"/>
      <c r="AK34" s="2602"/>
      <c r="AL34" s="2602"/>
      <c r="AM34" s="2602"/>
      <c r="AN34" s="2602"/>
      <c r="AO34" s="2602"/>
      <c r="AP34" s="2398"/>
    </row>
    <row r="35" spans="1:42" s="58" customFormat="1" ht="57" customHeight="1" x14ac:dyDescent="0.2">
      <c r="A35" s="3874"/>
      <c r="B35" s="3874"/>
      <c r="C35" s="3874"/>
      <c r="D35" s="2836"/>
      <c r="E35" s="2836"/>
      <c r="F35" s="2836"/>
      <c r="G35" s="2644">
        <v>1903027</v>
      </c>
      <c r="H35" s="3420">
        <v>11.11</v>
      </c>
      <c r="I35" s="3017" t="s">
        <v>1775</v>
      </c>
      <c r="J35" s="3102" t="s">
        <v>1776</v>
      </c>
      <c r="K35" s="2849">
        <v>5</v>
      </c>
      <c r="L35" s="2089"/>
      <c r="M35" s="3101"/>
      <c r="N35" s="3017"/>
      <c r="O35" s="2624">
        <f>SUM(T35:T38)/P17</f>
        <v>8.5195189456310997E-3</v>
      </c>
      <c r="P35" s="3101"/>
      <c r="Q35" s="3017"/>
      <c r="R35" s="2878"/>
      <c r="S35" s="2115" t="s">
        <v>1777</v>
      </c>
      <c r="T35" s="3893">
        <f>50000000-47000000</f>
        <v>3000000</v>
      </c>
      <c r="U35" s="2109">
        <v>61</v>
      </c>
      <c r="V35" s="3894" t="s">
        <v>1751</v>
      </c>
      <c r="W35" s="2645"/>
      <c r="X35" s="2602"/>
      <c r="Y35" s="2602"/>
      <c r="Z35" s="2602"/>
      <c r="AA35" s="2602"/>
      <c r="AB35" s="2602"/>
      <c r="AC35" s="2602"/>
      <c r="AD35" s="2602"/>
      <c r="AE35" s="2602"/>
      <c r="AF35" s="2602"/>
      <c r="AG35" s="2602"/>
      <c r="AH35" s="2602"/>
      <c r="AI35" s="2602"/>
      <c r="AJ35" s="2602"/>
      <c r="AK35" s="2602"/>
      <c r="AL35" s="2602"/>
      <c r="AM35" s="2602"/>
      <c r="AN35" s="2602"/>
      <c r="AO35" s="2602"/>
      <c r="AP35" s="2398"/>
    </row>
    <row r="36" spans="1:42" s="58" customFormat="1" ht="57" customHeight="1" x14ac:dyDescent="0.2">
      <c r="A36" s="3874"/>
      <c r="B36" s="3874"/>
      <c r="C36" s="3874"/>
      <c r="D36" s="2836"/>
      <c r="E36" s="2836"/>
      <c r="F36" s="2836"/>
      <c r="G36" s="2645"/>
      <c r="H36" s="3421"/>
      <c r="I36" s="3017"/>
      <c r="J36" s="3102"/>
      <c r="K36" s="2850"/>
      <c r="L36" s="2089"/>
      <c r="M36" s="3101"/>
      <c r="N36" s="3017"/>
      <c r="O36" s="2625"/>
      <c r="P36" s="3101"/>
      <c r="Q36" s="3017"/>
      <c r="R36" s="2878"/>
      <c r="S36" s="2115" t="s">
        <v>1778</v>
      </c>
      <c r="T36" s="3893">
        <f>50000000-47000000</f>
        <v>3000000</v>
      </c>
      <c r="U36" s="2109">
        <v>61</v>
      </c>
      <c r="V36" s="3894" t="s">
        <v>1751</v>
      </c>
      <c r="W36" s="2645"/>
      <c r="X36" s="2602"/>
      <c r="Y36" s="2602"/>
      <c r="Z36" s="2602"/>
      <c r="AA36" s="2602"/>
      <c r="AB36" s="2602"/>
      <c r="AC36" s="2602"/>
      <c r="AD36" s="2602"/>
      <c r="AE36" s="2602"/>
      <c r="AF36" s="2602"/>
      <c r="AG36" s="2602"/>
      <c r="AH36" s="2602"/>
      <c r="AI36" s="2602"/>
      <c r="AJ36" s="2602"/>
      <c r="AK36" s="2602"/>
      <c r="AL36" s="2602"/>
      <c r="AM36" s="2602"/>
      <c r="AN36" s="2602"/>
      <c r="AO36" s="2602"/>
      <c r="AP36" s="2398"/>
    </row>
    <row r="37" spans="1:42" s="58" customFormat="1" ht="57" customHeight="1" x14ac:dyDescent="0.2">
      <c r="A37" s="3874"/>
      <c r="B37" s="3874"/>
      <c r="C37" s="3874"/>
      <c r="D37" s="2836"/>
      <c r="E37" s="2836"/>
      <c r="F37" s="2836"/>
      <c r="G37" s="2645"/>
      <c r="H37" s="3421"/>
      <c r="I37" s="3017"/>
      <c r="J37" s="3102"/>
      <c r="K37" s="2850"/>
      <c r="L37" s="2089"/>
      <c r="M37" s="3101"/>
      <c r="N37" s="3017"/>
      <c r="O37" s="2625"/>
      <c r="P37" s="3101"/>
      <c r="Q37" s="3017"/>
      <c r="R37" s="2878"/>
      <c r="S37" s="2115" t="s">
        <v>1779</v>
      </c>
      <c r="T37" s="3893">
        <f>50000000-47000000</f>
        <v>3000000</v>
      </c>
      <c r="U37" s="2109">
        <v>61</v>
      </c>
      <c r="V37" s="3894" t="s">
        <v>1751</v>
      </c>
      <c r="W37" s="2645"/>
      <c r="X37" s="2602"/>
      <c r="Y37" s="2602"/>
      <c r="Z37" s="2602"/>
      <c r="AA37" s="2602"/>
      <c r="AB37" s="2602"/>
      <c r="AC37" s="2602"/>
      <c r="AD37" s="2602"/>
      <c r="AE37" s="2602"/>
      <c r="AF37" s="2602"/>
      <c r="AG37" s="2602"/>
      <c r="AH37" s="2602"/>
      <c r="AI37" s="2602"/>
      <c r="AJ37" s="2602"/>
      <c r="AK37" s="2602"/>
      <c r="AL37" s="2602"/>
      <c r="AM37" s="2602"/>
      <c r="AN37" s="2602"/>
      <c r="AO37" s="2602"/>
      <c r="AP37" s="2398"/>
    </row>
    <row r="38" spans="1:42" s="58" customFormat="1" ht="84.75" customHeight="1" x14ac:dyDescent="0.2">
      <c r="A38" s="3874"/>
      <c r="B38" s="3874"/>
      <c r="C38" s="3874"/>
      <c r="D38" s="2836"/>
      <c r="E38" s="2836"/>
      <c r="F38" s="2836"/>
      <c r="G38" s="3900"/>
      <c r="H38" s="3901"/>
      <c r="I38" s="3017"/>
      <c r="J38" s="3102"/>
      <c r="K38" s="2851"/>
      <c r="L38" s="2089"/>
      <c r="M38" s="3101"/>
      <c r="N38" s="3017"/>
      <c r="O38" s="2660"/>
      <c r="P38" s="3101"/>
      <c r="Q38" s="3017"/>
      <c r="R38" s="2878"/>
      <c r="S38" s="2085" t="s">
        <v>1780</v>
      </c>
      <c r="T38" s="3896">
        <f>50000000-47800000</f>
        <v>2200000</v>
      </c>
      <c r="U38" s="2109">
        <v>61</v>
      </c>
      <c r="V38" s="3894" t="s">
        <v>1751</v>
      </c>
      <c r="W38" s="2645"/>
      <c r="X38" s="2602"/>
      <c r="Y38" s="2602"/>
      <c r="Z38" s="2602"/>
      <c r="AA38" s="2602"/>
      <c r="AB38" s="2602"/>
      <c r="AC38" s="2602"/>
      <c r="AD38" s="2602"/>
      <c r="AE38" s="2602"/>
      <c r="AF38" s="2602"/>
      <c r="AG38" s="2602"/>
      <c r="AH38" s="2602"/>
      <c r="AI38" s="2602"/>
      <c r="AJ38" s="2602"/>
      <c r="AK38" s="2602"/>
      <c r="AL38" s="2602"/>
      <c r="AM38" s="2602"/>
      <c r="AN38" s="2602"/>
      <c r="AO38" s="2602"/>
      <c r="AP38" s="2398"/>
    </row>
    <row r="39" spans="1:42" s="58" customFormat="1" ht="89.25" customHeight="1" x14ac:dyDescent="0.2">
      <c r="A39" s="3874"/>
      <c r="B39" s="3874"/>
      <c r="C39" s="3874"/>
      <c r="D39" s="2836"/>
      <c r="E39" s="2836"/>
      <c r="F39" s="2836"/>
      <c r="G39" s="3564">
        <v>1903011</v>
      </c>
      <c r="H39" s="3387">
        <v>11.4</v>
      </c>
      <c r="I39" s="3017" t="s">
        <v>1781</v>
      </c>
      <c r="J39" s="3102" t="s">
        <v>2389</v>
      </c>
      <c r="K39" s="2849">
        <v>140</v>
      </c>
      <c r="L39" s="2089"/>
      <c r="M39" s="3101"/>
      <c r="N39" s="3017"/>
      <c r="O39" s="2624">
        <f>SUM(T39:T41)/P17</f>
        <v>1.5213426688626963E-2</v>
      </c>
      <c r="P39" s="3101"/>
      <c r="Q39" s="3017"/>
      <c r="R39" s="2347"/>
      <c r="S39" s="2087" t="s">
        <v>1782</v>
      </c>
      <c r="T39" s="3902">
        <v>5000000</v>
      </c>
      <c r="U39" s="2109">
        <v>61</v>
      </c>
      <c r="V39" s="3894" t="s">
        <v>1751</v>
      </c>
      <c r="W39" s="2645"/>
      <c r="X39" s="2602"/>
      <c r="Y39" s="2602"/>
      <c r="Z39" s="2602"/>
      <c r="AA39" s="2602"/>
      <c r="AB39" s="2602"/>
      <c r="AC39" s="2602"/>
      <c r="AD39" s="2602"/>
      <c r="AE39" s="2602"/>
      <c r="AF39" s="2602"/>
      <c r="AG39" s="2602"/>
      <c r="AH39" s="2602"/>
      <c r="AI39" s="2602"/>
      <c r="AJ39" s="2602"/>
      <c r="AK39" s="2602"/>
      <c r="AL39" s="2602"/>
      <c r="AM39" s="2602"/>
      <c r="AN39" s="2602"/>
      <c r="AO39" s="2602"/>
      <c r="AP39" s="2398"/>
    </row>
    <row r="40" spans="1:42" s="58" customFormat="1" ht="80.25" customHeight="1" x14ac:dyDescent="0.2">
      <c r="A40" s="3874"/>
      <c r="B40" s="3874"/>
      <c r="C40" s="3874"/>
      <c r="D40" s="2836"/>
      <c r="E40" s="2836"/>
      <c r="F40" s="2836"/>
      <c r="G40" s="3564"/>
      <c r="H40" s="3387"/>
      <c r="I40" s="3017"/>
      <c r="J40" s="3102"/>
      <c r="K40" s="2850"/>
      <c r="L40" s="2089"/>
      <c r="M40" s="3101"/>
      <c r="N40" s="3017"/>
      <c r="O40" s="2625"/>
      <c r="P40" s="3101"/>
      <c r="Q40" s="3017"/>
      <c r="R40" s="2347"/>
      <c r="S40" s="2099" t="s">
        <v>1783</v>
      </c>
      <c r="T40" s="3903">
        <v>5000000</v>
      </c>
      <c r="U40" s="2109">
        <v>61</v>
      </c>
      <c r="V40" s="3894" t="s">
        <v>1751</v>
      </c>
      <c r="W40" s="2645"/>
      <c r="X40" s="2602"/>
      <c r="Y40" s="2602"/>
      <c r="Z40" s="2602"/>
      <c r="AA40" s="2602"/>
      <c r="AB40" s="2602"/>
      <c r="AC40" s="2602"/>
      <c r="AD40" s="2602"/>
      <c r="AE40" s="2602"/>
      <c r="AF40" s="2602"/>
      <c r="AG40" s="2602"/>
      <c r="AH40" s="2602"/>
      <c r="AI40" s="2602"/>
      <c r="AJ40" s="2602"/>
      <c r="AK40" s="2602"/>
      <c r="AL40" s="2602"/>
      <c r="AM40" s="2602"/>
      <c r="AN40" s="2602"/>
      <c r="AO40" s="2602"/>
      <c r="AP40" s="2398"/>
    </row>
    <row r="41" spans="1:42" s="58" customFormat="1" ht="52.5" customHeight="1" x14ac:dyDescent="0.2">
      <c r="A41" s="3874"/>
      <c r="B41" s="3874"/>
      <c r="C41" s="3874"/>
      <c r="D41" s="2836"/>
      <c r="E41" s="2836"/>
      <c r="F41" s="2836"/>
      <c r="G41" s="3564"/>
      <c r="H41" s="3387"/>
      <c r="I41" s="3017"/>
      <c r="J41" s="3102"/>
      <c r="K41" s="2851"/>
      <c r="L41" s="2095"/>
      <c r="M41" s="3101"/>
      <c r="N41" s="3017"/>
      <c r="O41" s="2660"/>
      <c r="P41" s="3101"/>
      <c r="Q41" s="3017"/>
      <c r="R41" s="3627"/>
      <c r="S41" s="2087" t="s">
        <v>1784</v>
      </c>
      <c r="T41" s="3902">
        <v>10000000</v>
      </c>
      <c r="U41" s="2109">
        <v>61</v>
      </c>
      <c r="V41" s="3894" t="s">
        <v>1751</v>
      </c>
      <c r="W41" s="2646"/>
      <c r="X41" s="2603"/>
      <c r="Y41" s="2603"/>
      <c r="Z41" s="2603"/>
      <c r="AA41" s="2603"/>
      <c r="AB41" s="2603"/>
      <c r="AC41" s="2603"/>
      <c r="AD41" s="2603"/>
      <c r="AE41" s="2603"/>
      <c r="AF41" s="2603"/>
      <c r="AG41" s="2603"/>
      <c r="AH41" s="2603"/>
      <c r="AI41" s="2603"/>
      <c r="AJ41" s="2603"/>
      <c r="AK41" s="2603"/>
      <c r="AL41" s="2603"/>
      <c r="AM41" s="2603"/>
      <c r="AN41" s="2603"/>
      <c r="AO41" s="2603"/>
      <c r="AP41" s="2819"/>
    </row>
    <row r="42" spans="1:42" s="3908" customFormat="1" ht="65.25" customHeight="1" x14ac:dyDescent="0.2">
      <c r="A42" s="3874"/>
      <c r="B42" s="3874"/>
      <c r="C42" s="3874"/>
      <c r="D42" s="2836"/>
      <c r="E42" s="2836"/>
      <c r="F42" s="2836"/>
      <c r="G42" s="2644">
        <v>1903001</v>
      </c>
      <c r="H42" s="2668">
        <v>11.1</v>
      </c>
      <c r="I42" s="2398" t="s">
        <v>414</v>
      </c>
      <c r="J42" s="2398" t="s">
        <v>1785</v>
      </c>
      <c r="K42" s="3904">
        <v>1</v>
      </c>
      <c r="L42" s="2124"/>
      <c r="M42" s="2707" t="s">
        <v>1786</v>
      </c>
      <c r="N42" s="3156" t="s">
        <v>1787</v>
      </c>
      <c r="O42" s="3905">
        <f>SUM(T42:T48)/P42</f>
        <v>0.25824959584112595</v>
      </c>
      <c r="P42" s="3568">
        <f>SUM(T42:T62)</f>
        <v>315470000</v>
      </c>
      <c r="Q42" s="3017" t="s">
        <v>1788</v>
      </c>
      <c r="R42" s="2982" t="s">
        <v>1789</v>
      </c>
      <c r="S42" s="2108" t="s">
        <v>1790</v>
      </c>
      <c r="T42" s="3899">
        <v>1160000</v>
      </c>
      <c r="U42" s="3886" t="s">
        <v>1791</v>
      </c>
      <c r="V42" s="3906" t="s">
        <v>1792</v>
      </c>
      <c r="W42" s="3572">
        <v>289394</v>
      </c>
      <c r="X42" s="3572">
        <v>279112</v>
      </c>
      <c r="Y42" s="3572">
        <v>63164</v>
      </c>
      <c r="Z42" s="3572">
        <v>45607</v>
      </c>
      <c r="AA42" s="3572">
        <v>365607</v>
      </c>
      <c r="AB42" s="3572">
        <f>AA42*0.43</f>
        <v>157211.01</v>
      </c>
      <c r="AC42" s="3572">
        <v>75612</v>
      </c>
      <c r="AD42" s="3572">
        <v>2145</v>
      </c>
      <c r="AE42" s="3572">
        <v>12718</v>
      </c>
      <c r="AF42" s="3572">
        <v>26</v>
      </c>
      <c r="AG42" s="3572">
        <v>37</v>
      </c>
      <c r="AH42" s="3572">
        <v>0</v>
      </c>
      <c r="AI42" s="3572">
        <v>0</v>
      </c>
      <c r="AJ42" s="3572">
        <v>78</v>
      </c>
      <c r="AK42" s="3572">
        <v>16897</v>
      </c>
      <c r="AL42" s="3572">
        <v>852</v>
      </c>
      <c r="AM42" s="3572">
        <v>568506</v>
      </c>
      <c r="AN42" s="3699">
        <v>43832</v>
      </c>
      <c r="AO42" s="3699">
        <v>44196</v>
      </c>
      <c r="AP42" s="3907" t="s">
        <v>1739</v>
      </c>
    </row>
    <row r="43" spans="1:42" s="3908" customFormat="1" ht="65.25" customHeight="1" x14ac:dyDescent="0.2">
      <c r="A43" s="3874"/>
      <c r="B43" s="3874"/>
      <c r="C43" s="3874"/>
      <c r="D43" s="2836"/>
      <c r="E43" s="2836"/>
      <c r="F43" s="2836"/>
      <c r="G43" s="2645"/>
      <c r="H43" s="2668"/>
      <c r="I43" s="2398"/>
      <c r="J43" s="2398"/>
      <c r="K43" s="3904"/>
      <c r="L43" s="2124"/>
      <c r="M43" s="2668"/>
      <c r="N43" s="3157"/>
      <c r="O43" s="3909"/>
      <c r="P43" s="3568"/>
      <c r="Q43" s="3017"/>
      <c r="R43" s="2878"/>
      <c r="S43" s="2115" t="s">
        <v>1793</v>
      </c>
      <c r="T43" s="3893">
        <v>1240000</v>
      </c>
      <c r="U43" s="3886" t="s">
        <v>1791</v>
      </c>
      <c r="V43" s="3887" t="s">
        <v>1792</v>
      </c>
      <c r="W43" s="3573"/>
      <c r="X43" s="3573"/>
      <c r="Y43" s="3573"/>
      <c r="Z43" s="3573"/>
      <c r="AA43" s="3573"/>
      <c r="AB43" s="3573"/>
      <c r="AC43" s="3573"/>
      <c r="AD43" s="3573"/>
      <c r="AE43" s="3573"/>
      <c r="AF43" s="3573"/>
      <c r="AG43" s="3573"/>
      <c r="AH43" s="3573"/>
      <c r="AI43" s="3573"/>
      <c r="AJ43" s="3573"/>
      <c r="AK43" s="3573"/>
      <c r="AL43" s="3573"/>
      <c r="AM43" s="3573"/>
      <c r="AN43" s="3573"/>
      <c r="AO43" s="3573"/>
      <c r="AP43" s="3910"/>
    </row>
    <row r="44" spans="1:42" s="3908" customFormat="1" ht="65.25" customHeight="1" x14ac:dyDescent="0.2">
      <c r="A44" s="3874"/>
      <c r="B44" s="3874"/>
      <c r="C44" s="3874"/>
      <c r="D44" s="2836"/>
      <c r="E44" s="2836"/>
      <c r="F44" s="2836"/>
      <c r="G44" s="2645"/>
      <c r="H44" s="2668"/>
      <c r="I44" s="2398"/>
      <c r="J44" s="2398"/>
      <c r="K44" s="3904"/>
      <c r="L44" s="2124"/>
      <c r="M44" s="2668"/>
      <c r="N44" s="3157"/>
      <c r="O44" s="3909"/>
      <c r="P44" s="3568"/>
      <c r="Q44" s="3017"/>
      <c r="R44" s="2878"/>
      <c r="S44" s="2115" t="s">
        <v>1794</v>
      </c>
      <c r="T44" s="3893">
        <v>3240000</v>
      </c>
      <c r="U44" s="3886" t="s">
        <v>1791</v>
      </c>
      <c r="V44" s="3887" t="s">
        <v>1792</v>
      </c>
      <c r="W44" s="3573"/>
      <c r="X44" s="3573"/>
      <c r="Y44" s="3573"/>
      <c r="Z44" s="3573"/>
      <c r="AA44" s="3573"/>
      <c r="AB44" s="3573"/>
      <c r="AC44" s="3573"/>
      <c r="AD44" s="3573"/>
      <c r="AE44" s="3573"/>
      <c r="AF44" s="3573"/>
      <c r="AG44" s="3573"/>
      <c r="AH44" s="3573"/>
      <c r="AI44" s="3573"/>
      <c r="AJ44" s="3573"/>
      <c r="AK44" s="3573"/>
      <c r="AL44" s="3573"/>
      <c r="AM44" s="3573"/>
      <c r="AN44" s="3573"/>
      <c r="AO44" s="3573"/>
      <c r="AP44" s="3910"/>
    </row>
    <row r="45" spans="1:42" s="3908" customFormat="1" ht="112.5" customHeight="1" x14ac:dyDescent="0.2">
      <c r="A45" s="3874"/>
      <c r="B45" s="3874"/>
      <c r="C45" s="3874"/>
      <c r="D45" s="2836"/>
      <c r="E45" s="2836"/>
      <c r="F45" s="2836"/>
      <c r="G45" s="2645"/>
      <c r="H45" s="2668"/>
      <c r="I45" s="2398"/>
      <c r="J45" s="2398"/>
      <c r="K45" s="3904"/>
      <c r="L45" s="2124"/>
      <c r="M45" s="2668"/>
      <c r="N45" s="3157"/>
      <c r="O45" s="3909"/>
      <c r="P45" s="3568"/>
      <c r="Q45" s="3017"/>
      <c r="R45" s="2878"/>
      <c r="S45" s="2115" t="s">
        <v>1795</v>
      </c>
      <c r="T45" s="3893">
        <v>3400000</v>
      </c>
      <c r="U45" s="3886" t="s">
        <v>1791</v>
      </c>
      <c r="V45" s="3887" t="s">
        <v>1792</v>
      </c>
      <c r="W45" s="3573"/>
      <c r="X45" s="3573"/>
      <c r="Y45" s="3573"/>
      <c r="Z45" s="3573"/>
      <c r="AA45" s="3573"/>
      <c r="AB45" s="3573"/>
      <c r="AC45" s="3573"/>
      <c r="AD45" s="3573"/>
      <c r="AE45" s="3573"/>
      <c r="AF45" s="3573"/>
      <c r="AG45" s="3573"/>
      <c r="AH45" s="3573"/>
      <c r="AI45" s="3573"/>
      <c r="AJ45" s="3573"/>
      <c r="AK45" s="3573"/>
      <c r="AL45" s="3573"/>
      <c r="AM45" s="3573"/>
      <c r="AN45" s="3573"/>
      <c r="AO45" s="3573"/>
      <c r="AP45" s="3910"/>
    </row>
    <row r="46" spans="1:42" s="3908" customFormat="1" ht="65.25" customHeight="1" x14ac:dyDescent="0.2">
      <c r="A46" s="3874"/>
      <c r="B46" s="3874"/>
      <c r="C46" s="3874"/>
      <c r="D46" s="2836"/>
      <c r="E46" s="2836"/>
      <c r="F46" s="2836"/>
      <c r="G46" s="2645"/>
      <c r="H46" s="2668"/>
      <c r="I46" s="2398"/>
      <c r="J46" s="2398"/>
      <c r="K46" s="3904"/>
      <c r="L46" s="2124"/>
      <c r="M46" s="2668"/>
      <c r="N46" s="3157"/>
      <c r="O46" s="3909"/>
      <c r="P46" s="3568"/>
      <c r="Q46" s="3017"/>
      <c r="R46" s="2878"/>
      <c r="S46" s="2115" t="s">
        <v>1796</v>
      </c>
      <c r="T46" s="3893">
        <v>32000000</v>
      </c>
      <c r="U46" s="3886" t="s">
        <v>1791</v>
      </c>
      <c r="V46" s="3887" t="s">
        <v>1792</v>
      </c>
      <c r="W46" s="3573"/>
      <c r="X46" s="3573"/>
      <c r="Y46" s="3573"/>
      <c r="Z46" s="3573"/>
      <c r="AA46" s="3573"/>
      <c r="AB46" s="3573"/>
      <c r="AC46" s="3573"/>
      <c r="AD46" s="3573"/>
      <c r="AE46" s="3573"/>
      <c r="AF46" s="3573"/>
      <c r="AG46" s="3573"/>
      <c r="AH46" s="3573"/>
      <c r="AI46" s="3573"/>
      <c r="AJ46" s="3573"/>
      <c r="AK46" s="3573"/>
      <c r="AL46" s="3573"/>
      <c r="AM46" s="3573"/>
      <c r="AN46" s="3573"/>
      <c r="AO46" s="3573"/>
      <c r="AP46" s="3910"/>
    </row>
    <row r="47" spans="1:42" s="3908" customFormat="1" ht="65.25" customHeight="1" x14ac:dyDescent="0.2">
      <c r="A47" s="3874"/>
      <c r="B47" s="3874"/>
      <c r="C47" s="3874"/>
      <c r="D47" s="2836"/>
      <c r="E47" s="2836"/>
      <c r="F47" s="2836"/>
      <c r="G47" s="2645"/>
      <c r="H47" s="2668"/>
      <c r="I47" s="2398"/>
      <c r="J47" s="2398"/>
      <c r="K47" s="3904"/>
      <c r="L47" s="2124"/>
      <c r="M47" s="2668"/>
      <c r="N47" s="3157"/>
      <c r="O47" s="3909"/>
      <c r="P47" s="3568"/>
      <c r="Q47" s="3017"/>
      <c r="R47" s="2878"/>
      <c r="S47" s="2115" t="s">
        <v>2390</v>
      </c>
      <c r="T47" s="3893">
        <v>32376667</v>
      </c>
      <c r="U47" s="3886" t="s">
        <v>1791</v>
      </c>
      <c r="V47" s="3887" t="s">
        <v>1792</v>
      </c>
      <c r="W47" s="3573"/>
      <c r="X47" s="3573"/>
      <c r="Y47" s="3573"/>
      <c r="Z47" s="3573"/>
      <c r="AA47" s="3573"/>
      <c r="AB47" s="3573"/>
      <c r="AC47" s="3573"/>
      <c r="AD47" s="3573"/>
      <c r="AE47" s="3573"/>
      <c r="AF47" s="3573"/>
      <c r="AG47" s="3573"/>
      <c r="AH47" s="3573"/>
      <c r="AI47" s="3573"/>
      <c r="AJ47" s="3573"/>
      <c r="AK47" s="3573"/>
      <c r="AL47" s="3573"/>
      <c r="AM47" s="3573"/>
      <c r="AN47" s="3573"/>
      <c r="AO47" s="3573"/>
      <c r="AP47" s="3910"/>
    </row>
    <row r="48" spans="1:42" s="3908" customFormat="1" ht="103.5" customHeight="1" x14ac:dyDescent="0.2">
      <c r="A48" s="3874"/>
      <c r="B48" s="3874"/>
      <c r="C48" s="3874"/>
      <c r="D48" s="2836"/>
      <c r="E48" s="2836"/>
      <c r="F48" s="2836"/>
      <c r="G48" s="2646"/>
      <c r="H48" s="2668"/>
      <c r="I48" s="2819"/>
      <c r="J48" s="2819"/>
      <c r="K48" s="3904"/>
      <c r="L48" s="2124"/>
      <c r="M48" s="2668"/>
      <c r="N48" s="3157"/>
      <c r="O48" s="3911"/>
      <c r="P48" s="3568"/>
      <c r="Q48" s="3017"/>
      <c r="R48" s="2878"/>
      <c r="S48" s="2115" t="s">
        <v>1797</v>
      </c>
      <c r="T48" s="3893">
        <f>5893333+2160000</f>
        <v>8053333</v>
      </c>
      <c r="U48" s="3886" t="s">
        <v>1791</v>
      </c>
      <c r="V48" s="3887" t="s">
        <v>1792</v>
      </c>
      <c r="W48" s="3573"/>
      <c r="X48" s="3573"/>
      <c r="Y48" s="3573"/>
      <c r="Z48" s="3573"/>
      <c r="AA48" s="3573"/>
      <c r="AB48" s="3573"/>
      <c r="AC48" s="3573"/>
      <c r="AD48" s="3573"/>
      <c r="AE48" s="3573"/>
      <c r="AF48" s="3573"/>
      <c r="AG48" s="3573"/>
      <c r="AH48" s="3573"/>
      <c r="AI48" s="3573"/>
      <c r="AJ48" s="3573"/>
      <c r="AK48" s="3573"/>
      <c r="AL48" s="3573"/>
      <c r="AM48" s="3573"/>
      <c r="AN48" s="3573"/>
      <c r="AO48" s="3573"/>
      <c r="AP48" s="3910"/>
    </row>
    <row r="49" spans="1:42" s="3908" customFormat="1" ht="49.5" customHeight="1" x14ac:dyDescent="0.2">
      <c r="A49" s="3874"/>
      <c r="B49" s="3874"/>
      <c r="C49" s="3874"/>
      <c r="D49" s="2836"/>
      <c r="E49" s="2836"/>
      <c r="F49" s="2836"/>
      <c r="G49" s="2644">
        <v>1903015</v>
      </c>
      <c r="H49" s="2601">
        <v>11.6</v>
      </c>
      <c r="I49" s="2397" t="s">
        <v>1798</v>
      </c>
      <c r="J49" s="2397" t="s">
        <v>1799</v>
      </c>
      <c r="K49" s="3904">
        <v>12</v>
      </c>
      <c r="L49" s="2124"/>
      <c r="M49" s="2668"/>
      <c r="N49" s="3157"/>
      <c r="O49" s="3905">
        <f>SUM(T49:T62)/P42</f>
        <v>0.74175040415887405</v>
      </c>
      <c r="P49" s="3568"/>
      <c r="Q49" s="3017"/>
      <c r="R49" s="2878"/>
      <c r="S49" s="2115" t="s">
        <v>1800</v>
      </c>
      <c r="T49" s="3893">
        <f>14246667+933333</f>
        <v>15180000</v>
      </c>
      <c r="U49" s="3886" t="s">
        <v>1791</v>
      </c>
      <c r="V49" s="3887" t="s">
        <v>1792</v>
      </c>
      <c r="W49" s="3573"/>
      <c r="X49" s="3573"/>
      <c r="Y49" s="3573"/>
      <c r="Z49" s="3573"/>
      <c r="AA49" s="3573"/>
      <c r="AB49" s="3573"/>
      <c r="AC49" s="3573"/>
      <c r="AD49" s="3573"/>
      <c r="AE49" s="3573"/>
      <c r="AF49" s="3573"/>
      <c r="AG49" s="3573"/>
      <c r="AH49" s="3573"/>
      <c r="AI49" s="3573"/>
      <c r="AJ49" s="3573"/>
      <c r="AK49" s="3573"/>
      <c r="AL49" s="3573"/>
      <c r="AM49" s="3573"/>
      <c r="AN49" s="3573"/>
      <c r="AO49" s="3573"/>
      <c r="AP49" s="3910"/>
    </row>
    <row r="50" spans="1:42" s="3908" customFormat="1" ht="49.5" customHeight="1" x14ac:dyDescent="0.2">
      <c r="A50" s="3874"/>
      <c r="B50" s="3874"/>
      <c r="C50" s="3874"/>
      <c r="D50" s="2836"/>
      <c r="E50" s="2836"/>
      <c r="F50" s="2836"/>
      <c r="G50" s="2645"/>
      <c r="H50" s="2602"/>
      <c r="I50" s="2398"/>
      <c r="J50" s="2398"/>
      <c r="K50" s="3904"/>
      <c r="L50" s="2124"/>
      <c r="M50" s="2668"/>
      <c r="N50" s="3157"/>
      <c r="O50" s="3909"/>
      <c r="P50" s="3568"/>
      <c r="Q50" s="3017"/>
      <c r="R50" s="2878"/>
      <c r="S50" s="2115" t="s">
        <v>1801</v>
      </c>
      <c r="T50" s="3893">
        <v>1866667</v>
      </c>
      <c r="U50" s="3886" t="s">
        <v>1791</v>
      </c>
      <c r="V50" s="3887" t="s">
        <v>1792</v>
      </c>
      <c r="W50" s="3573"/>
      <c r="X50" s="3573"/>
      <c r="Y50" s="3573"/>
      <c r="Z50" s="3573"/>
      <c r="AA50" s="3573"/>
      <c r="AB50" s="3573"/>
      <c r="AC50" s="3573"/>
      <c r="AD50" s="3573"/>
      <c r="AE50" s="3573"/>
      <c r="AF50" s="3573"/>
      <c r="AG50" s="3573"/>
      <c r="AH50" s="3573"/>
      <c r="AI50" s="3573"/>
      <c r="AJ50" s="3573"/>
      <c r="AK50" s="3573"/>
      <c r="AL50" s="3573"/>
      <c r="AM50" s="3573"/>
      <c r="AN50" s="3573"/>
      <c r="AO50" s="3573"/>
      <c r="AP50" s="3910"/>
    </row>
    <row r="51" spans="1:42" s="3908" customFormat="1" ht="49.5" customHeight="1" x14ac:dyDescent="0.2">
      <c r="A51" s="3874"/>
      <c r="B51" s="3874"/>
      <c r="C51" s="3874"/>
      <c r="D51" s="2836"/>
      <c r="E51" s="2836"/>
      <c r="F51" s="2836"/>
      <c r="G51" s="2645"/>
      <c r="H51" s="2602"/>
      <c r="I51" s="2398"/>
      <c r="J51" s="2398"/>
      <c r="K51" s="3904"/>
      <c r="L51" s="2124" t="s">
        <v>2391</v>
      </c>
      <c r="M51" s="2668"/>
      <c r="N51" s="3157"/>
      <c r="O51" s="3909"/>
      <c r="P51" s="3568"/>
      <c r="Q51" s="3017"/>
      <c r="R51" s="2878"/>
      <c r="S51" s="2115" t="s">
        <v>1802</v>
      </c>
      <c r="T51" s="3893">
        <v>3300000</v>
      </c>
      <c r="U51" s="3886" t="s">
        <v>1791</v>
      </c>
      <c r="V51" s="3887" t="s">
        <v>1792</v>
      </c>
      <c r="W51" s="3573"/>
      <c r="X51" s="3573"/>
      <c r="Y51" s="3573"/>
      <c r="Z51" s="3573"/>
      <c r="AA51" s="3573"/>
      <c r="AB51" s="3573"/>
      <c r="AC51" s="3573"/>
      <c r="AD51" s="3573"/>
      <c r="AE51" s="3573"/>
      <c r="AF51" s="3573"/>
      <c r="AG51" s="3573"/>
      <c r="AH51" s="3573"/>
      <c r="AI51" s="3573"/>
      <c r="AJ51" s="3573"/>
      <c r="AK51" s="3573"/>
      <c r="AL51" s="3573"/>
      <c r="AM51" s="3573"/>
      <c r="AN51" s="3573"/>
      <c r="AO51" s="3573"/>
      <c r="AP51" s="3910"/>
    </row>
    <row r="52" spans="1:42" s="3908" customFormat="1" ht="49.5" customHeight="1" x14ac:dyDescent="0.2">
      <c r="A52" s="3874"/>
      <c r="B52" s="3874"/>
      <c r="C52" s="3874"/>
      <c r="D52" s="2836"/>
      <c r="E52" s="2836"/>
      <c r="F52" s="2836"/>
      <c r="G52" s="2645"/>
      <c r="H52" s="2602"/>
      <c r="I52" s="2398"/>
      <c r="J52" s="2398"/>
      <c r="K52" s="3904"/>
      <c r="L52" s="2124" t="s">
        <v>2392</v>
      </c>
      <c r="M52" s="2668"/>
      <c r="N52" s="3157"/>
      <c r="O52" s="3909"/>
      <c r="P52" s="3568"/>
      <c r="Q52" s="3017"/>
      <c r="R52" s="2878"/>
      <c r="S52" s="2115" t="s">
        <v>1803</v>
      </c>
      <c r="T52" s="3893">
        <f>1074666+10925334</f>
        <v>12000000</v>
      </c>
      <c r="U52" s="3886" t="s">
        <v>1791</v>
      </c>
      <c r="V52" s="3887" t="s">
        <v>1792</v>
      </c>
      <c r="W52" s="3573"/>
      <c r="X52" s="3573"/>
      <c r="Y52" s="3573"/>
      <c r="Z52" s="3573"/>
      <c r="AA52" s="3573"/>
      <c r="AB52" s="3573"/>
      <c r="AC52" s="3573"/>
      <c r="AD52" s="3573"/>
      <c r="AE52" s="3573"/>
      <c r="AF52" s="3573"/>
      <c r="AG52" s="3573"/>
      <c r="AH52" s="3573"/>
      <c r="AI52" s="3573"/>
      <c r="AJ52" s="3573"/>
      <c r="AK52" s="3573"/>
      <c r="AL52" s="3573"/>
      <c r="AM52" s="3573"/>
      <c r="AN52" s="3573"/>
      <c r="AO52" s="3573"/>
      <c r="AP52" s="3910"/>
    </row>
    <row r="53" spans="1:42" s="3908" customFormat="1" ht="49.5" customHeight="1" x14ac:dyDescent="0.2">
      <c r="A53" s="3874"/>
      <c r="B53" s="3874"/>
      <c r="C53" s="3874"/>
      <c r="D53" s="2836"/>
      <c r="E53" s="2836"/>
      <c r="F53" s="2836"/>
      <c r="G53" s="2645"/>
      <c r="H53" s="2602"/>
      <c r="I53" s="2398"/>
      <c r="J53" s="2398"/>
      <c r="K53" s="3904"/>
      <c r="L53" s="2124"/>
      <c r="M53" s="2668"/>
      <c r="N53" s="3157"/>
      <c r="O53" s="3909"/>
      <c r="P53" s="3568"/>
      <c r="Q53" s="3017"/>
      <c r="R53" s="2878"/>
      <c r="S53" s="2115" t="s">
        <v>1804</v>
      </c>
      <c r="T53" s="3893">
        <f>4316000+7684000</f>
        <v>12000000</v>
      </c>
      <c r="U53" s="3886" t="s">
        <v>1791</v>
      </c>
      <c r="V53" s="3887" t="s">
        <v>1792</v>
      </c>
      <c r="W53" s="3573"/>
      <c r="X53" s="3573"/>
      <c r="Y53" s="3573"/>
      <c r="Z53" s="3573"/>
      <c r="AA53" s="3573"/>
      <c r="AB53" s="3573"/>
      <c r="AC53" s="3573"/>
      <c r="AD53" s="3573"/>
      <c r="AE53" s="3573"/>
      <c r="AF53" s="3573"/>
      <c r="AG53" s="3573"/>
      <c r="AH53" s="3573"/>
      <c r="AI53" s="3573"/>
      <c r="AJ53" s="3573"/>
      <c r="AK53" s="3573"/>
      <c r="AL53" s="3573"/>
      <c r="AM53" s="3573"/>
      <c r="AN53" s="3573"/>
      <c r="AO53" s="3573"/>
      <c r="AP53" s="3910"/>
    </row>
    <row r="54" spans="1:42" s="3908" customFormat="1" ht="91.5" customHeight="1" x14ac:dyDescent="0.2">
      <c r="A54" s="3874"/>
      <c r="B54" s="3874"/>
      <c r="C54" s="3874"/>
      <c r="D54" s="2836"/>
      <c r="E54" s="2836"/>
      <c r="F54" s="2836"/>
      <c r="G54" s="2645"/>
      <c r="H54" s="2602"/>
      <c r="I54" s="2398"/>
      <c r="J54" s="2398"/>
      <c r="K54" s="3904"/>
      <c r="L54" s="2124"/>
      <c r="M54" s="2668"/>
      <c r="N54" s="3157"/>
      <c r="O54" s="3909"/>
      <c r="P54" s="3568"/>
      <c r="Q54" s="3017"/>
      <c r="R54" s="2878"/>
      <c r="S54" s="2115" t="s">
        <v>1805</v>
      </c>
      <c r="T54" s="3893">
        <f>4480000+7520000</f>
        <v>12000000</v>
      </c>
      <c r="U54" s="3886" t="s">
        <v>1791</v>
      </c>
      <c r="V54" s="3887" t="s">
        <v>1792</v>
      </c>
      <c r="W54" s="3573"/>
      <c r="X54" s="3573"/>
      <c r="Y54" s="3573"/>
      <c r="Z54" s="3573"/>
      <c r="AA54" s="3573"/>
      <c r="AB54" s="3573"/>
      <c r="AC54" s="3573"/>
      <c r="AD54" s="3573"/>
      <c r="AE54" s="3573"/>
      <c r="AF54" s="3573"/>
      <c r="AG54" s="3573"/>
      <c r="AH54" s="3573"/>
      <c r="AI54" s="3573"/>
      <c r="AJ54" s="3573"/>
      <c r="AK54" s="3573"/>
      <c r="AL54" s="3573"/>
      <c r="AM54" s="3573"/>
      <c r="AN54" s="3573"/>
      <c r="AO54" s="3573"/>
      <c r="AP54" s="3910"/>
    </row>
    <row r="55" spans="1:42" s="3908" customFormat="1" ht="71.25" customHeight="1" x14ac:dyDescent="0.2">
      <c r="A55" s="3874"/>
      <c r="B55" s="3874"/>
      <c r="C55" s="3874"/>
      <c r="D55" s="2836"/>
      <c r="E55" s="2836"/>
      <c r="F55" s="2836"/>
      <c r="G55" s="2645"/>
      <c r="H55" s="2602"/>
      <c r="I55" s="2398"/>
      <c r="J55" s="2398"/>
      <c r="K55" s="3904"/>
      <c r="L55" s="2124"/>
      <c r="M55" s="2668"/>
      <c r="N55" s="3157"/>
      <c r="O55" s="3909"/>
      <c r="P55" s="3568"/>
      <c r="Q55" s="3017"/>
      <c r="R55" s="2878"/>
      <c r="S55" s="2115" t="s">
        <v>1806</v>
      </c>
      <c r="T55" s="3893">
        <f>3756000+8244000</f>
        <v>12000000</v>
      </c>
      <c r="U55" s="3886" t="s">
        <v>1791</v>
      </c>
      <c r="V55" s="3887" t="s">
        <v>1792</v>
      </c>
      <c r="W55" s="3573"/>
      <c r="X55" s="3573"/>
      <c r="Y55" s="3573"/>
      <c r="Z55" s="3573"/>
      <c r="AA55" s="3573"/>
      <c r="AB55" s="3573"/>
      <c r="AC55" s="3573"/>
      <c r="AD55" s="3573"/>
      <c r="AE55" s="3573"/>
      <c r="AF55" s="3573"/>
      <c r="AG55" s="3573"/>
      <c r="AH55" s="3573"/>
      <c r="AI55" s="3573"/>
      <c r="AJ55" s="3573"/>
      <c r="AK55" s="3573"/>
      <c r="AL55" s="3573"/>
      <c r="AM55" s="3573"/>
      <c r="AN55" s="3573"/>
      <c r="AO55" s="3573"/>
      <c r="AP55" s="3910"/>
    </row>
    <row r="56" spans="1:42" s="3908" customFormat="1" ht="71.25" customHeight="1" x14ac:dyDescent="0.2">
      <c r="A56" s="3874"/>
      <c r="B56" s="3874"/>
      <c r="C56" s="3874"/>
      <c r="D56" s="2836"/>
      <c r="E56" s="2836"/>
      <c r="F56" s="2836"/>
      <c r="G56" s="2645"/>
      <c r="H56" s="2602"/>
      <c r="I56" s="2398"/>
      <c r="J56" s="2398"/>
      <c r="K56" s="3904"/>
      <c r="L56" s="2124"/>
      <c r="M56" s="2668"/>
      <c r="N56" s="3157"/>
      <c r="O56" s="3909"/>
      <c r="P56" s="3568"/>
      <c r="Q56" s="3017"/>
      <c r="R56" s="2878"/>
      <c r="S56" s="2115" t="s">
        <v>1807</v>
      </c>
      <c r="T56" s="3893">
        <f>2240000+9760000</f>
        <v>12000000</v>
      </c>
      <c r="U56" s="3886" t="s">
        <v>1791</v>
      </c>
      <c r="V56" s="3887" t="s">
        <v>1792</v>
      </c>
      <c r="W56" s="3573"/>
      <c r="X56" s="3573"/>
      <c r="Y56" s="3573"/>
      <c r="Z56" s="3573"/>
      <c r="AA56" s="3573"/>
      <c r="AB56" s="3573"/>
      <c r="AC56" s="3573"/>
      <c r="AD56" s="3573"/>
      <c r="AE56" s="3573"/>
      <c r="AF56" s="3573"/>
      <c r="AG56" s="3573"/>
      <c r="AH56" s="3573"/>
      <c r="AI56" s="3573"/>
      <c r="AJ56" s="3573"/>
      <c r="AK56" s="3573"/>
      <c r="AL56" s="3573"/>
      <c r="AM56" s="3573"/>
      <c r="AN56" s="3573"/>
      <c r="AO56" s="3573"/>
      <c r="AP56" s="3910"/>
    </row>
    <row r="57" spans="1:42" s="3908" customFormat="1" ht="71.25" customHeight="1" x14ac:dyDescent="0.2">
      <c r="A57" s="3874"/>
      <c r="B57" s="3874"/>
      <c r="C57" s="3874"/>
      <c r="D57" s="2836"/>
      <c r="E57" s="2836"/>
      <c r="F57" s="2836"/>
      <c r="G57" s="2645"/>
      <c r="H57" s="2602"/>
      <c r="I57" s="2398"/>
      <c r="J57" s="2398"/>
      <c r="K57" s="3904"/>
      <c r="L57" s="2124"/>
      <c r="M57" s="2668"/>
      <c r="N57" s="3157"/>
      <c r="O57" s="3909"/>
      <c r="P57" s="3568"/>
      <c r="Q57" s="3017"/>
      <c r="R57" s="2878"/>
      <c r="S57" s="2115" t="s">
        <v>1808</v>
      </c>
      <c r="T57" s="3893">
        <v>20000000</v>
      </c>
      <c r="U57" s="3886" t="s">
        <v>1791</v>
      </c>
      <c r="V57" s="3887" t="s">
        <v>1792</v>
      </c>
      <c r="W57" s="3573"/>
      <c r="X57" s="3573"/>
      <c r="Y57" s="3573"/>
      <c r="Z57" s="3573"/>
      <c r="AA57" s="3573"/>
      <c r="AB57" s="3573"/>
      <c r="AC57" s="3573"/>
      <c r="AD57" s="3573"/>
      <c r="AE57" s="3573"/>
      <c r="AF57" s="3573"/>
      <c r="AG57" s="3573"/>
      <c r="AH57" s="3573"/>
      <c r="AI57" s="3573"/>
      <c r="AJ57" s="3573"/>
      <c r="AK57" s="3573"/>
      <c r="AL57" s="3573"/>
      <c r="AM57" s="3573"/>
      <c r="AN57" s="3573"/>
      <c r="AO57" s="3573"/>
      <c r="AP57" s="3910"/>
    </row>
    <row r="58" spans="1:42" s="3908" customFormat="1" ht="108" customHeight="1" x14ac:dyDescent="0.2">
      <c r="A58" s="3874"/>
      <c r="B58" s="3874"/>
      <c r="C58" s="3874"/>
      <c r="D58" s="2836"/>
      <c r="E58" s="2836"/>
      <c r="F58" s="2836"/>
      <c r="G58" s="2645"/>
      <c r="H58" s="2602"/>
      <c r="I58" s="2398"/>
      <c r="J58" s="2398"/>
      <c r="K58" s="3904"/>
      <c r="L58" s="2124"/>
      <c r="M58" s="2668"/>
      <c r="N58" s="3157"/>
      <c r="O58" s="3909"/>
      <c r="P58" s="3568"/>
      <c r="Q58" s="3017"/>
      <c r="R58" s="2878"/>
      <c r="S58" s="2115" t="s">
        <v>1809</v>
      </c>
      <c r="T58" s="3893">
        <v>21000000</v>
      </c>
      <c r="U58" s="3886" t="s">
        <v>1791</v>
      </c>
      <c r="V58" s="3887" t="s">
        <v>1792</v>
      </c>
      <c r="W58" s="3573"/>
      <c r="X58" s="3573"/>
      <c r="Y58" s="3573"/>
      <c r="Z58" s="3573"/>
      <c r="AA58" s="3573"/>
      <c r="AB58" s="3573"/>
      <c r="AC58" s="3573"/>
      <c r="AD58" s="3573"/>
      <c r="AE58" s="3573"/>
      <c r="AF58" s="3573"/>
      <c r="AG58" s="3573"/>
      <c r="AH58" s="3573"/>
      <c r="AI58" s="3573"/>
      <c r="AJ58" s="3573"/>
      <c r="AK58" s="3573"/>
      <c r="AL58" s="3573"/>
      <c r="AM58" s="3573"/>
      <c r="AN58" s="3573"/>
      <c r="AO58" s="3573"/>
      <c r="AP58" s="3910"/>
    </row>
    <row r="59" spans="1:42" s="3908" customFormat="1" ht="71.25" customHeight="1" x14ac:dyDescent="0.2">
      <c r="A59" s="3874"/>
      <c r="B59" s="3874"/>
      <c r="C59" s="3874"/>
      <c r="D59" s="2836"/>
      <c r="E59" s="2836"/>
      <c r="F59" s="2836"/>
      <c r="G59" s="2645"/>
      <c r="H59" s="2602"/>
      <c r="I59" s="2398"/>
      <c r="J59" s="2398"/>
      <c r="K59" s="3904"/>
      <c r="L59" s="2124"/>
      <c r="M59" s="2668"/>
      <c r="N59" s="3157"/>
      <c r="O59" s="3909"/>
      <c r="P59" s="3568"/>
      <c r="Q59" s="3017"/>
      <c r="R59" s="2878"/>
      <c r="S59" s="2115" t="s">
        <v>1810</v>
      </c>
      <c r="T59" s="3893">
        <f>59653333-2000000</f>
        <v>57653333</v>
      </c>
      <c r="U59" s="3886" t="s">
        <v>1791</v>
      </c>
      <c r="V59" s="3887" t="s">
        <v>1792</v>
      </c>
      <c r="W59" s="3573"/>
      <c r="X59" s="3573"/>
      <c r="Y59" s="3573"/>
      <c r="Z59" s="3573"/>
      <c r="AA59" s="3573"/>
      <c r="AB59" s="3573"/>
      <c r="AC59" s="3573"/>
      <c r="AD59" s="3573"/>
      <c r="AE59" s="3573"/>
      <c r="AF59" s="3573"/>
      <c r="AG59" s="3573"/>
      <c r="AH59" s="3573"/>
      <c r="AI59" s="3573"/>
      <c r="AJ59" s="3573"/>
      <c r="AK59" s="3573"/>
      <c r="AL59" s="3573"/>
      <c r="AM59" s="3573"/>
      <c r="AN59" s="3573"/>
      <c r="AO59" s="3573"/>
      <c r="AP59" s="3910"/>
    </row>
    <row r="60" spans="1:42" s="3908" customFormat="1" ht="71.25" customHeight="1" x14ac:dyDescent="0.2">
      <c r="A60" s="3874"/>
      <c r="B60" s="3874"/>
      <c r="C60" s="3874"/>
      <c r="D60" s="2836"/>
      <c r="E60" s="2836"/>
      <c r="F60" s="2836"/>
      <c r="G60" s="2645"/>
      <c r="H60" s="2602"/>
      <c r="I60" s="2398"/>
      <c r="J60" s="2398"/>
      <c r="K60" s="3904"/>
      <c r="L60" s="2124"/>
      <c r="M60" s="2668"/>
      <c r="N60" s="3157"/>
      <c r="O60" s="3909"/>
      <c r="P60" s="3568"/>
      <c r="Q60" s="3017"/>
      <c r="R60" s="2878"/>
      <c r="S60" s="2115" t="s">
        <v>1811</v>
      </c>
      <c r="T60" s="3893">
        <v>25000000</v>
      </c>
      <c r="U60" s="3886" t="s">
        <v>1791</v>
      </c>
      <c r="V60" s="3887" t="s">
        <v>1792</v>
      </c>
      <c r="W60" s="3573"/>
      <c r="X60" s="3573"/>
      <c r="Y60" s="3573"/>
      <c r="Z60" s="3573"/>
      <c r="AA60" s="3573"/>
      <c r="AB60" s="3573"/>
      <c r="AC60" s="3573"/>
      <c r="AD60" s="3573"/>
      <c r="AE60" s="3573"/>
      <c r="AF60" s="3573"/>
      <c r="AG60" s="3573"/>
      <c r="AH60" s="3573"/>
      <c r="AI60" s="3573"/>
      <c r="AJ60" s="3573"/>
      <c r="AK60" s="3573"/>
      <c r="AL60" s="3573"/>
      <c r="AM60" s="3573"/>
      <c r="AN60" s="3573"/>
      <c r="AO60" s="3573"/>
      <c r="AP60" s="3910"/>
    </row>
    <row r="61" spans="1:42" s="3908" customFormat="1" ht="71.25" customHeight="1" x14ac:dyDescent="0.2">
      <c r="A61" s="3874"/>
      <c r="B61" s="3874"/>
      <c r="C61" s="3874"/>
      <c r="D61" s="2836"/>
      <c r="E61" s="2836"/>
      <c r="F61" s="2836"/>
      <c r="G61" s="2645"/>
      <c r="H61" s="2602"/>
      <c r="I61" s="2398"/>
      <c r="J61" s="2398"/>
      <c r="K61" s="3904"/>
      <c r="L61" s="2124"/>
      <c r="M61" s="2668"/>
      <c r="N61" s="3157"/>
      <c r="O61" s="3909"/>
      <c r="P61" s="3568"/>
      <c r="Q61" s="3017"/>
      <c r="R61" s="2878"/>
      <c r="S61" s="2115" t="s">
        <v>1812</v>
      </c>
      <c r="T61" s="3893">
        <v>15000000</v>
      </c>
      <c r="U61" s="3886" t="s">
        <v>1791</v>
      </c>
      <c r="V61" s="3887" t="s">
        <v>1792</v>
      </c>
      <c r="W61" s="3573"/>
      <c r="X61" s="3573"/>
      <c r="Y61" s="3573"/>
      <c r="Z61" s="3573"/>
      <c r="AA61" s="3573"/>
      <c r="AB61" s="3573"/>
      <c r="AC61" s="3573"/>
      <c r="AD61" s="3573"/>
      <c r="AE61" s="3573"/>
      <c r="AF61" s="3573"/>
      <c r="AG61" s="3573"/>
      <c r="AH61" s="3573"/>
      <c r="AI61" s="3573"/>
      <c r="AJ61" s="3573"/>
      <c r="AK61" s="3573"/>
      <c r="AL61" s="3573"/>
      <c r="AM61" s="3573"/>
      <c r="AN61" s="3573"/>
      <c r="AO61" s="3573"/>
      <c r="AP61" s="3910"/>
    </row>
    <row r="62" spans="1:42" s="3908" customFormat="1" ht="49.5" customHeight="1" x14ac:dyDescent="0.2">
      <c r="A62" s="3874"/>
      <c r="B62" s="3874"/>
      <c r="C62" s="3874"/>
      <c r="D62" s="2836"/>
      <c r="E62" s="2836"/>
      <c r="F62" s="2836"/>
      <c r="G62" s="2646"/>
      <c r="H62" s="2603"/>
      <c r="I62" s="2819"/>
      <c r="J62" s="2819"/>
      <c r="K62" s="3904"/>
      <c r="L62" s="2124"/>
      <c r="M62" s="2735"/>
      <c r="N62" s="3575"/>
      <c r="O62" s="3911"/>
      <c r="P62" s="3101"/>
      <c r="Q62" s="3017"/>
      <c r="R62" s="2879"/>
      <c r="S62" s="2115" t="s">
        <v>1813</v>
      </c>
      <c r="T62" s="3893">
        <v>15000000</v>
      </c>
      <c r="U62" s="3886" t="s">
        <v>1791</v>
      </c>
      <c r="V62" s="3887" t="s">
        <v>1792</v>
      </c>
      <c r="W62" s="3574"/>
      <c r="X62" s="3574"/>
      <c r="Y62" s="3574"/>
      <c r="Z62" s="3574"/>
      <c r="AA62" s="3574"/>
      <c r="AB62" s="3574"/>
      <c r="AC62" s="3574"/>
      <c r="AD62" s="3574"/>
      <c r="AE62" s="3574"/>
      <c r="AF62" s="3574"/>
      <c r="AG62" s="3574"/>
      <c r="AH62" s="3574"/>
      <c r="AI62" s="3574"/>
      <c r="AJ62" s="3574"/>
      <c r="AK62" s="3574"/>
      <c r="AL62" s="3574"/>
      <c r="AM62" s="3574"/>
      <c r="AN62" s="3574"/>
      <c r="AO62" s="3574"/>
      <c r="AP62" s="3912"/>
    </row>
    <row r="63" spans="1:42" s="3908" customFormat="1" ht="46.5" customHeight="1" x14ac:dyDescent="0.2">
      <c r="A63" s="3874"/>
      <c r="B63" s="3874"/>
      <c r="C63" s="3874"/>
      <c r="D63" s="2836"/>
      <c r="E63" s="2836"/>
      <c r="F63" s="2836"/>
      <c r="G63" s="2873">
        <v>1903012</v>
      </c>
      <c r="H63" s="3564">
        <v>11.5</v>
      </c>
      <c r="I63" s="3017" t="s">
        <v>1814</v>
      </c>
      <c r="J63" s="3017" t="s">
        <v>1815</v>
      </c>
      <c r="K63" s="3904">
        <v>4000</v>
      </c>
      <c r="L63" s="3913"/>
      <c r="M63" s="2668" t="s">
        <v>1816</v>
      </c>
      <c r="N63" s="2772" t="s">
        <v>1817</v>
      </c>
      <c r="O63" s="3914">
        <f>SUM(T63:T70)/P63</f>
        <v>0.80416416030797766</v>
      </c>
      <c r="P63" s="3568">
        <f>SUM(T63:T76)</f>
        <v>1079211718</v>
      </c>
      <c r="Q63" s="3017" t="s">
        <v>1818</v>
      </c>
      <c r="R63" s="3915" t="s">
        <v>1819</v>
      </c>
      <c r="S63" s="2140" t="s">
        <v>1820</v>
      </c>
      <c r="T63" s="3916">
        <f>47511412+294488588+54700000-19489759</f>
        <v>377210241</v>
      </c>
      <c r="U63" s="2109">
        <v>61</v>
      </c>
      <c r="V63" s="3887" t="s">
        <v>1792</v>
      </c>
      <c r="W63" s="2601">
        <v>289394</v>
      </c>
      <c r="X63" s="2601">
        <v>279112</v>
      </c>
      <c r="Y63" s="2601">
        <v>63164</v>
      </c>
      <c r="Z63" s="2601">
        <v>45607</v>
      </c>
      <c r="AA63" s="2601">
        <v>365607</v>
      </c>
      <c r="AB63" s="2601">
        <f>AA63*0.27</f>
        <v>98713.89</v>
      </c>
      <c r="AC63" s="2601">
        <v>75612</v>
      </c>
      <c r="AD63" s="2601">
        <v>2145</v>
      </c>
      <c r="AE63" s="2601">
        <v>12718</v>
      </c>
      <c r="AF63" s="2601">
        <v>26</v>
      </c>
      <c r="AG63" s="2601">
        <v>37</v>
      </c>
      <c r="AH63" s="2601">
        <v>0</v>
      </c>
      <c r="AI63" s="2601">
        <v>0</v>
      </c>
      <c r="AJ63" s="2601">
        <v>78</v>
      </c>
      <c r="AK63" s="2601">
        <v>16897</v>
      </c>
      <c r="AL63" s="2601">
        <v>852</v>
      </c>
      <c r="AM63" s="2601">
        <v>568506</v>
      </c>
      <c r="AN63" s="3494">
        <v>43832</v>
      </c>
      <c r="AO63" s="3494">
        <v>44196</v>
      </c>
      <c r="AP63" s="2397" t="s">
        <v>1739</v>
      </c>
    </row>
    <row r="64" spans="1:42" s="3908" customFormat="1" ht="31.5" customHeight="1" x14ac:dyDescent="0.2">
      <c r="A64" s="3874"/>
      <c r="B64" s="3874"/>
      <c r="C64" s="3874"/>
      <c r="D64" s="2836"/>
      <c r="E64" s="2836"/>
      <c r="F64" s="2836"/>
      <c r="G64" s="2873"/>
      <c r="H64" s="3564"/>
      <c r="I64" s="3017"/>
      <c r="J64" s="3017"/>
      <c r="K64" s="3904"/>
      <c r="L64" s="2134"/>
      <c r="M64" s="2668"/>
      <c r="N64" s="2772"/>
      <c r="O64" s="3914"/>
      <c r="P64" s="3568"/>
      <c r="Q64" s="3017"/>
      <c r="R64" s="3915"/>
      <c r="S64" s="3575" t="s">
        <v>1821</v>
      </c>
      <c r="T64" s="3916">
        <v>38301477</v>
      </c>
      <c r="U64" s="2109">
        <v>61</v>
      </c>
      <c r="V64" s="3887" t="s">
        <v>1792</v>
      </c>
      <c r="W64" s="2602"/>
      <c r="X64" s="2602"/>
      <c r="Y64" s="2602"/>
      <c r="Z64" s="2602"/>
      <c r="AA64" s="2602"/>
      <c r="AB64" s="2602"/>
      <c r="AC64" s="2602"/>
      <c r="AD64" s="2602"/>
      <c r="AE64" s="2602"/>
      <c r="AF64" s="2602"/>
      <c r="AG64" s="2602"/>
      <c r="AH64" s="2602"/>
      <c r="AI64" s="2602"/>
      <c r="AJ64" s="2602"/>
      <c r="AK64" s="2602"/>
      <c r="AL64" s="2602"/>
      <c r="AM64" s="2602"/>
      <c r="AN64" s="2602"/>
      <c r="AO64" s="2602"/>
      <c r="AP64" s="2398"/>
    </row>
    <row r="65" spans="1:42" s="3908" customFormat="1" ht="31.5" customHeight="1" x14ac:dyDescent="0.2">
      <c r="A65" s="3874"/>
      <c r="B65" s="3874"/>
      <c r="C65" s="3874"/>
      <c r="D65" s="2836"/>
      <c r="E65" s="2836"/>
      <c r="F65" s="2836"/>
      <c r="G65" s="2873"/>
      <c r="H65" s="3564"/>
      <c r="I65" s="3017"/>
      <c r="J65" s="3017"/>
      <c r="K65" s="3904"/>
      <c r="L65" s="2134"/>
      <c r="M65" s="2668"/>
      <c r="N65" s="2772"/>
      <c r="O65" s="3914"/>
      <c r="P65" s="3568"/>
      <c r="Q65" s="3017"/>
      <c r="R65" s="3915"/>
      <c r="S65" s="3156"/>
      <c r="T65" s="3916">
        <v>54700000</v>
      </c>
      <c r="U65" s="2109">
        <v>170</v>
      </c>
      <c r="V65" s="3917" t="s">
        <v>2393</v>
      </c>
      <c r="W65" s="2602"/>
      <c r="X65" s="2602"/>
      <c r="Y65" s="2602"/>
      <c r="Z65" s="2602"/>
      <c r="AA65" s="2602"/>
      <c r="AB65" s="2602"/>
      <c r="AC65" s="2602"/>
      <c r="AD65" s="2602"/>
      <c r="AE65" s="2602"/>
      <c r="AF65" s="2602"/>
      <c r="AG65" s="2602"/>
      <c r="AH65" s="2602"/>
      <c r="AI65" s="2602"/>
      <c r="AJ65" s="2602"/>
      <c r="AK65" s="2602"/>
      <c r="AL65" s="2602"/>
      <c r="AM65" s="2602"/>
      <c r="AN65" s="2602"/>
      <c r="AO65" s="2602"/>
      <c r="AP65" s="2398"/>
    </row>
    <row r="66" spans="1:42" s="3908" customFormat="1" ht="73.5" customHeight="1" x14ac:dyDescent="0.2">
      <c r="A66" s="3874"/>
      <c r="B66" s="3874"/>
      <c r="C66" s="3874"/>
      <c r="D66" s="2836"/>
      <c r="E66" s="2836"/>
      <c r="F66" s="2836"/>
      <c r="G66" s="2873"/>
      <c r="H66" s="3564"/>
      <c r="I66" s="3017"/>
      <c r="J66" s="3017"/>
      <c r="K66" s="3904"/>
      <c r="L66" s="2134"/>
      <c r="M66" s="2668"/>
      <c r="N66" s="2772"/>
      <c r="O66" s="3914"/>
      <c r="P66" s="3568"/>
      <c r="Q66" s="3017"/>
      <c r="R66" s="3915"/>
      <c r="S66" s="2111" t="s">
        <v>1822</v>
      </c>
      <c r="T66" s="3916">
        <f>10343001+170008666</f>
        <v>180351667</v>
      </c>
      <c r="U66" s="2109">
        <v>61</v>
      </c>
      <c r="V66" s="3917" t="s">
        <v>1792</v>
      </c>
      <c r="W66" s="2602"/>
      <c r="X66" s="2602"/>
      <c r="Y66" s="2602"/>
      <c r="Z66" s="2602"/>
      <c r="AA66" s="2602"/>
      <c r="AB66" s="2602"/>
      <c r="AC66" s="2602"/>
      <c r="AD66" s="2602"/>
      <c r="AE66" s="2602"/>
      <c r="AF66" s="2602"/>
      <c r="AG66" s="2602"/>
      <c r="AH66" s="2602"/>
      <c r="AI66" s="2602"/>
      <c r="AJ66" s="2602"/>
      <c r="AK66" s="2602"/>
      <c r="AL66" s="2602"/>
      <c r="AM66" s="2602"/>
      <c r="AN66" s="2602"/>
      <c r="AO66" s="2602"/>
      <c r="AP66" s="2398"/>
    </row>
    <row r="67" spans="1:42" s="3908" customFormat="1" ht="31.5" customHeight="1" x14ac:dyDescent="0.2">
      <c r="A67" s="3874"/>
      <c r="B67" s="3874"/>
      <c r="C67" s="3874"/>
      <c r="D67" s="2836"/>
      <c r="E67" s="2836"/>
      <c r="F67" s="2836"/>
      <c r="G67" s="2873"/>
      <c r="H67" s="3564"/>
      <c r="I67" s="3017"/>
      <c r="J67" s="3017"/>
      <c r="K67" s="3904"/>
      <c r="L67" s="2134"/>
      <c r="M67" s="2668"/>
      <c r="N67" s="2772"/>
      <c r="O67" s="3914"/>
      <c r="P67" s="3568"/>
      <c r="Q67" s="3017"/>
      <c r="R67" s="3915"/>
      <c r="S67" s="3575" t="s">
        <v>1823</v>
      </c>
      <c r="T67" s="3916">
        <f>3897333+136102667</f>
        <v>140000000</v>
      </c>
      <c r="U67" s="2109">
        <v>61</v>
      </c>
      <c r="V67" s="3917" t="s">
        <v>1792</v>
      </c>
      <c r="W67" s="2602"/>
      <c r="X67" s="2602"/>
      <c r="Y67" s="2602"/>
      <c r="Z67" s="2602"/>
      <c r="AA67" s="2602"/>
      <c r="AB67" s="2602"/>
      <c r="AC67" s="2602"/>
      <c r="AD67" s="2602"/>
      <c r="AE67" s="2602"/>
      <c r="AF67" s="2602"/>
      <c r="AG67" s="2602"/>
      <c r="AH67" s="2602"/>
      <c r="AI67" s="2602"/>
      <c r="AJ67" s="2602"/>
      <c r="AK67" s="2602"/>
      <c r="AL67" s="2602"/>
      <c r="AM67" s="2602"/>
      <c r="AN67" s="2602"/>
      <c r="AO67" s="2602"/>
      <c r="AP67" s="2398"/>
    </row>
    <row r="68" spans="1:42" s="3908" customFormat="1" ht="31.5" customHeight="1" x14ac:dyDescent="0.2">
      <c r="A68" s="3874"/>
      <c r="B68" s="3874"/>
      <c r="C68" s="3874"/>
      <c r="D68" s="2836"/>
      <c r="E68" s="2836"/>
      <c r="F68" s="2836"/>
      <c r="G68" s="2873"/>
      <c r="H68" s="3564"/>
      <c r="I68" s="3017"/>
      <c r="J68" s="3017"/>
      <c r="K68" s="3904"/>
      <c r="L68" s="2134" t="s">
        <v>2394</v>
      </c>
      <c r="M68" s="2668"/>
      <c r="N68" s="2772"/>
      <c r="O68" s="3914"/>
      <c r="P68" s="3568"/>
      <c r="Q68" s="3017"/>
      <c r="R68" s="3915"/>
      <c r="S68" s="3156"/>
      <c r="T68" s="3916">
        <v>40500000</v>
      </c>
      <c r="U68" s="2109">
        <v>170</v>
      </c>
      <c r="V68" s="3917" t="s">
        <v>1824</v>
      </c>
      <c r="W68" s="2602"/>
      <c r="X68" s="2602"/>
      <c r="Y68" s="2602"/>
      <c r="Z68" s="2602"/>
      <c r="AA68" s="2602"/>
      <c r="AB68" s="2602"/>
      <c r="AC68" s="2602"/>
      <c r="AD68" s="2602"/>
      <c r="AE68" s="2602"/>
      <c r="AF68" s="2602"/>
      <c r="AG68" s="2602"/>
      <c r="AH68" s="2602"/>
      <c r="AI68" s="2602"/>
      <c r="AJ68" s="2602"/>
      <c r="AK68" s="2602"/>
      <c r="AL68" s="2602"/>
      <c r="AM68" s="2602"/>
      <c r="AN68" s="2602"/>
      <c r="AO68" s="2602"/>
      <c r="AP68" s="2398"/>
    </row>
    <row r="69" spans="1:42" s="3908" customFormat="1" ht="46.5" customHeight="1" x14ac:dyDescent="0.2">
      <c r="A69" s="3874"/>
      <c r="B69" s="3874"/>
      <c r="C69" s="3874"/>
      <c r="D69" s="2836"/>
      <c r="E69" s="2836"/>
      <c r="F69" s="2836"/>
      <c r="G69" s="2873"/>
      <c r="H69" s="3564"/>
      <c r="I69" s="3017"/>
      <c r="J69" s="3017"/>
      <c r="K69" s="3904"/>
      <c r="L69" s="2134" t="s">
        <v>2395</v>
      </c>
      <c r="M69" s="2668"/>
      <c r="N69" s="2772"/>
      <c r="O69" s="3914"/>
      <c r="P69" s="3568"/>
      <c r="Q69" s="3017"/>
      <c r="R69" s="3915"/>
      <c r="S69" s="2111" t="s">
        <v>1825</v>
      </c>
      <c r="T69" s="3916">
        <f>4500000+15500000</f>
        <v>20000000</v>
      </c>
      <c r="U69" s="2109">
        <v>61</v>
      </c>
      <c r="V69" s="3917" t="s">
        <v>1792</v>
      </c>
      <c r="W69" s="2602"/>
      <c r="X69" s="2602"/>
      <c r="Y69" s="2602"/>
      <c r="Z69" s="2602"/>
      <c r="AA69" s="2602"/>
      <c r="AB69" s="2602"/>
      <c r="AC69" s="2602"/>
      <c r="AD69" s="2602"/>
      <c r="AE69" s="2602"/>
      <c r="AF69" s="2602"/>
      <c r="AG69" s="2602"/>
      <c r="AH69" s="2602"/>
      <c r="AI69" s="2602"/>
      <c r="AJ69" s="2602"/>
      <c r="AK69" s="2602"/>
      <c r="AL69" s="2602"/>
      <c r="AM69" s="2602"/>
      <c r="AN69" s="2602"/>
      <c r="AO69" s="2602"/>
      <c r="AP69" s="2398"/>
    </row>
    <row r="70" spans="1:42" s="3908" customFormat="1" ht="46.5" customHeight="1" x14ac:dyDescent="0.2">
      <c r="A70" s="3874"/>
      <c r="B70" s="3874"/>
      <c r="C70" s="3874"/>
      <c r="D70" s="2836"/>
      <c r="E70" s="2836"/>
      <c r="F70" s="2836"/>
      <c r="G70" s="2873"/>
      <c r="H70" s="3564"/>
      <c r="I70" s="3017"/>
      <c r="J70" s="3017"/>
      <c r="K70" s="3904"/>
      <c r="L70" s="2134" t="s">
        <v>2396</v>
      </c>
      <c r="M70" s="2668"/>
      <c r="N70" s="2772"/>
      <c r="O70" s="3914"/>
      <c r="P70" s="3568"/>
      <c r="Q70" s="3017"/>
      <c r="R70" s="3915"/>
      <c r="S70" s="2111" t="s">
        <v>1826</v>
      </c>
      <c r="T70" s="3893">
        <v>16800000</v>
      </c>
      <c r="U70" s="2109">
        <v>61</v>
      </c>
      <c r="V70" s="3917" t="s">
        <v>1792</v>
      </c>
      <c r="W70" s="2602"/>
      <c r="X70" s="2602"/>
      <c r="Y70" s="2602"/>
      <c r="Z70" s="2602"/>
      <c r="AA70" s="2602"/>
      <c r="AB70" s="2602"/>
      <c r="AC70" s="2602"/>
      <c r="AD70" s="2602"/>
      <c r="AE70" s="2602"/>
      <c r="AF70" s="2602"/>
      <c r="AG70" s="2602"/>
      <c r="AH70" s="2602"/>
      <c r="AI70" s="2602"/>
      <c r="AJ70" s="2602"/>
      <c r="AK70" s="2602"/>
      <c r="AL70" s="2602"/>
      <c r="AM70" s="2602"/>
      <c r="AN70" s="2602"/>
      <c r="AO70" s="2602"/>
      <c r="AP70" s="2398"/>
    </row>
    <row r="71" spans="1:42" s="3908" customFormat="1" ht="31.5" customHeight="1" x14ac:dyDescent="0.2">
      <c r="A71" s="3874"/>
      <c r="B71" s="3874"/>
      <c r="C71" s="3874"/>
      <c r="D71" s="2836"/>
      <c r="E71" s="2836"/>
      <c r="F71" s="2836"/>
      <c r="G71" s="3457">
        <v>1903016</v>
      </c>
      <c r="H71" s="2668">
        <v>11.7</v>
      </c>
      <c r="I71" s="2772" t="s">
        <v>1827</v>
      </c>
      <c r="J71" s="3029" t="s">
        <v>1828</v>
      </c>
      <c r="K71" s="3904">
        <v>240</v>
      </c>
      <c r="L71" s="2134" t="s">
        <v>2397</v>
      </c>
      <c r="M71" s="2668"/>
      <c r="N71" s="2772"/>
      <c r="O71" s="3905">
        <f>SUM(T71:T74)/P63</f>
        <v>0.10317561525958154</v>
      </c>
      <c r="P71" s="3101"/>
      <c r="Q71" s="3017"/>
      <c r="R71" s="3915"/>
      <c r="S71" s="3575" t="s">
        <v>1829</v>
      </c>
      <c r="T71" s="3893">
        <f>40000000</f>
        <v>40000000</v>
      </c>
      <c r="U71" s="2109">
        <v>98</v>
      </c>
      <c r="V71" s="3917" t="s">
        <v>1830</v>
      </c>
      <c r="W71" s="2602"/>
      <c r="X71" s="2602"/>
      <c r="Y71" s="2602"/>
      <c r="Z71" s="2602"/>
      <c r="AA71" s="2602"/>
      <c r="AB71" s="2602"/>
      <c r="AC71" s="2602"/>
      <c r="AD71" s="2602"/>
      <c r="AE71" s="2602"/>
      <c r="AF71" s="2602"/>
      <c r="AG71" s="2602"/>
      <c r="AH71" s="2602"/>
      <c r="AI71" s="2602"/>
      <c r="AJ71" s="2602"/>
      <c r="AK71" s="2602"/>
      <c r="AL71" s="2602"/>
      <c r="AM71" s="2602"/>
      <c r="AN71" s="2602"/>
      <c r="AO71" s="2602"/>
      <c r="AP71" s="2398"/>
    </row>
    <row r="72" spans="1:42" s="3908" customFormat="1" ht="31.5" customHeight="1" x14ac:dyDescent="0.2">
      <c r="A72" s="3874"/>
      <c r="B72" s="3874"/>
      <c r="C72" s="3874"/>
      <c r="D72" s="2836"/>
      <c r="E72" s="2836"/>
      <c r="F72" s="2836"/>
      <c r="G72" s="3564"/>
      <c r="H72" s="2668"/>
      <c r="I72" s="2772"/>
      <c r="J72" s="3030"/>
      <c r="K72" s="3904"/>
      <c r="L72" s="2134"/>
      <c r="M72" s="2668"/>
      <c r="N72" s="2772"/>
      <c r="O72" s="3909"/>
      <c r="P72" s="3101"/>
      <c r="Q72" s="3017"/>
      <c r="R72" s="3915"/>
      <c r="S72" s="3156"/>
      <c r="T72" s="3893">
        <v>11348333</v>
      </c>
      <c r="U72" s="2109">
        <v>61</v>
      </c>
      <c r="V72" s="3917" t="s">
        <v>1792</v>
      </c>
      <c r="W72" s="2602"/>
      <c r="X72" s="2602"/>
      <c r="Y72" s="2602"/>
      <c r="Z72" s="2602"/>
      <c r="AA72" s="2602"/>
      <c r="AB72" s="2602"/>
      <c r="AC72" s="2602"/>
      <c r="AD72" s="2602"/>
      <c r="AE72" s="2602"/>
      <c r="AF72" s="2602"/>
      <c r="AG72" s="2602"/>
      <c r="AH72" s="2602"/>
      <c r="AI72" s="2602"/>
      <c r="AJ72" s="2602"/>
      <c r="AK72" s="2602"/>
      <c r="AL72" s="2602"/>
      <c r="AM72" s="2602"/>
      <c r="AN72" s="2602"/>
      <c r="AO72" s="2602"/>
      <c r="AP72" s="2398"/>
    </row>
    <row r="73" spans="1:42" s="3908" customFormat="1" ht="72" customHeight="1" x14ac:dyDescent="0.2">
      <c r="A73" s="3874"/>
      <c r="B73" s="3874"/>
      <c r="C73" s="3874"/>
      <c r="D73" s="2836"/>
      <c r="E73" s="2836"/>
      <c r="F73" s="2836"/>
      <c r="G73" s="3564"/>
      <c r="H73" s="2668"/>
      <c r="I73" s="2772"/>
      <c r="J73" s="3030"/>
      <c r="K73" s="3904"/>
      <c r="L73" s="2134"/>
      <c r="M73" s="2668"/>
      <c r="N73" s="2772"/>
      <c r="O73" s="3909"/>
      <c r="P73" s="3101"/>
      <c r="Q73" s="3017"/>
      <c r="R73" s="3915"/>
      <c r="S73" s="2111" t="s">
        <v>1831</v>
      </c>
      <c r="T73" s="3893">
        <v>35000000</v>
      </c>
      <c r="U73" s="2109">
        <v>98</v>
      </c>
      <c r="V73" s="3917" t="s">
        <v>1830</v>
      </c>
      <c r="W73" s="2602"/>
      <c r="X73" s="2602"/>
      <c r="Y73" s="2602"/>
      <c r="Z73" s="2602"/>
      <c r="AA73" s="2602"/>
      <c r="AB73" s="2602"/>
      <c r="AC73" s="2602"/>
      <c r="AD73" s="2602"/>
      <c r="AE73" s="2602"/>
      <c r="AF73" s="2602"/>
      <c r="AG73" s="2602"/>
      <c r="AH73" s="2602"/>
      <c r="AI73" s="2602"/>
      <c r="AJ73" s="2602"/>
      <c r="AK73" s="2602"/>
      <c r="AL73" s="2602"/>
      <c r="AM73" s="2602"/>
      <c r="AN73" s="2602"/>
      <c r="AO73" s="2602"/>
      <c r="AP73" s="2398"/>
    </row>
    <row r="74" spans="1:42" s="3908" customFormat="1" ht="72" customHeight="1" x14ac:dyDescent="0.2">
      <c r="A74" s="3874"/>
      <c r="B74" s="3874"/>
      <c r="C74" s="3874"/>
      <c r="D74" s="2836"/>
      <c r="E74" s="2836"/>
      <c r="F74" s="2836"/>
      <c r="G74" s="3564"/>
      <c r="H74" s="2668"/>
      <c r="I74" s="2772"/>
      <c r="J74" s="3031"/>
      <c r="K74" s="3904"/>
      <c r="L74" s="2134"/>
      <c r="M74" s="2668"/>
      <c r="N74" s="2772"/>
      <c r="O74" s="3911"/>
      <c r="P74" s="3101"/>
      <c r="Q74" s="3017"/>
      <c r="R74" s="3915"/>
      <c r="S74" s="2111" t="s">
        <v>1832</v>
      </c>
      <c r="T74" s="3918">
        <v>25000000</v>
      </c>
      <c r="U74" s="2110">
        <v>98</v>
      </c>
      <c r="V74" s="3917" t="s">
        <v>1830</v>
      </c>
      <c r="W74" s="2602"/>
      <c r="X74" s="2602"/>
      <c r="Y74" s="2602"/>
      <c r="Z74" s="2602"/>
      <c r="AA74" s="2602"/>
      <c r="AB74" s="2602"/>
      <c r="AC74" s="2602"/>
      <c r="AD74" s="2602"/>
      <c r="AE74" s="2602"/>
      <c r="AF74" s="2602"/>
      <c r="AG74" s="2602"/>
      <c r="AH74" s="2602"/>
      <c r="AI74" s="2602"/>
      <c r="AJ74" s="2602"/>
      <c r="AK74" s="2602"/>
      <c r="AL74" s="2602"/>
      <c r="AM74" s="2602"/>
      <c r="AN74" s="2602"/>
      <c r="AO74" s="2602"/>
      <c r="AP74" s="2398"/>
    </row>
    <row r="75" spans="1:42" s="3908" customFormat="1" ht="42.75" customHeight="1" x14ac:dyDescent="0.2">
      <c r="A75" s="3874"/>
      <c r="B75" s="3874"/>
      <c r="C75" s="3874"/>
      <c r="D75" s="2836"/>
      <c r="E75" s="2836"/>
      <c r="F75" s="2836"/>
      <c r="G75" s="3564">
        <v>1903011</v>
      </c>
      <c r="H75" s="2668">
        <v>11.4</v>
      </c>
      <c r="I75" s="2772" t="s">
        <v>1781</v>
      </c>
      <c r="J75" s="3919" t="s">
        <v>1834</v>
      </c>
      <c r="K75" s="3904">
        <v>12</v>
      </c>
      <c r="L75" s="2134"/>
      <c r="M75" s="2668"/>
      <c r="N75" s="2772"/>
      <c r="O75" s="3914">
        <f>SUM(T75:T76)/P63</f>
        <v>9.2660224432440791E-2</v>
      </c>
      <c r="P75" s="3101"/>
      <c r="Q75" s="3017"/>
      <c r="R75" s="3915"/>
      <c r="S75" s="3920" t="s">
        <v>1833</v>
      </c>
      <c r="T75" s="3921">
        <v>33501477</v>
      </c>
      <c r="U75" s="2109">
        <v>98</v>
      </c>
      <c r="V75" s="3917" t="s">
        <v>1830</v>
      </c>
      <c r="W75" s="2602"/>
      <c r="X75" s="2602"/>
      <c r="Y75" s="2602"/>
      <c r="Z75" s="2602"/>
      <c r="AA75" s="2602"/>
      <c r="AB75" s="2602"/>
      <c r="AC75" s="2602"/>
      <c r="AD75" s="2602"/>
      <c r="AE75" s="2602"/>
      <c r="AF75" s="2602"/>
      <c r="AG75" s="2602"/>
      <c r="AH75" s="2602"/>
      <c r="AI75" s="2602"/>
      <c r="AJ75" s="2602"/>
      <c r="AK75" s="2602"/>
      <c r="AL75" s="2602"/>
      <c r="AM75" s="2602"/>
      <c r="AN75" s="2602"/>
      <c r="AO75" s="2602"/>
      <c r="AP75" s="2398"/>
    </row>
    <row r="76" spans="1:42" s="3908" customFormat="1" ht="34.5" customHeight="1" x14ac:dyDescent="0.2">
      <c r="A76" s="3874"/>
      <c r="B76" s="3874"/>
      <c r="C76" s="3874"/>
      <c r="D76" s="2836"/>
      <c r="E76" s="2836"/>
      <c r="F76" s="2836"/>
      <c r="G76" s="3564"/>
      <c r="H76" s="2668"/>
      <c r="I76" s="2772"/>
      <c r="J76" s="3922"/>
      <c r="K76" s="3904"/>
      <c r="L76" s="3923"/>
      <c r="M76" s="2735"/>
      <c r="N76" s="2772"/>
      <c r="O76" s="3914"/>
      <c r="P76" s="3101"/>
      <c r="Q76" s="3017"/>
      <c r="R76" s="3915"/>
      <c r="S76" s="2111" t="s">
        <v>1835</v>
      </c>
      <c r="T76" s="3924">
        <v>66498523</v>
      </c>
      <c r="U76" s="2117">
        <v>61</v>
      </c>
      <c r="V76" s="3925" t="s">
        <v>1792</v>
      </c>
      <c r="W76" s="2603"/>
      <c r="X76" s="2603"/>
      <c r="Y76" s="2603"/>
      <c r="Z76" s="2603"/>
      <c r="AA76" s="2603"/>
      <c r="AB76" s="2603"/>
      <c r="AC76" s="2603"/>
      <c r="AD76" s="2603"/>
      <c r="AE76" s="2603"/>
      <c r="AF76" s="2603"/>
      <c r="AG76" s="2603"/>
      <c r="AH76" s="2603"/>
      <c r="AI76" s="2603"/>
      <c r="AJ76" s="2603"/>
      <c r="AK76" s="2603"/>
      <c r="AL76" s="2603"/>
      <c r="AM76" s="2603"/>
      <c r="AN76" s="2603"/>
      <c r="AO76" s="2603"/>
      <c r="AP76" s="2819"/>
    </row>
    <row r="77" spans="1:42" s="3908" customFormat="1" ht="46.5" customHeight="1" x14ac:dyDescent="0.2">
      <c r="A77" s="3874"/>
      <c r="B77" s="3874"/>
      <c r="C77" s="3874"/>
      <c r="D77" s="2836"/>
      <c r="E77" s="2836"/>
      <c r="F77" s="2836"/>
      <c r="G77" s="3564">
        <v>1903031</v>
      </c>
      <c r="H77" s="2735">
        <v>11.13</v>
      </c>
      <c r="I77" s="2772" t="s">
        <v>1836</v>
      </c>
      <c r="J77" s="3017" t="s">
        <v>1837</v>
      </c>
      <c r="K77" s="3904">
        <v>12</v>
      </c>
      <c r="L77" s="2124"/>
      <c r="M77" s="2668" t="s">
        <v>1838</v>
      </c>
      <c r="N77" s="3157" t="s">
        <v>1839</v>
      </c>
      <c r="O77" s="3914">
        <f>SUM(T77:T88)/(P77+P276)</f>
        <v>0.95577855027889824</v>
      </c>
      <c r="P77" s="3568">
        <f>SUM(T77:T88)</f>
        <v>636000000</v>
      </c>
      <c r="Q77" s="3576" t="s">
        <v>1840</v>
      </c>
      <c r="R77" s="3926" t="s">
        <v>1841</v>
      </c>
      <c r="S77" s="2115" t="s">
        <v>1842</v>
      </c>
      <c r="T77" s="3927">
        <f>4733334+3981670</f>
        <v>8715004</v>
      </c>
      <c r="U77" s="3886" t="s">
        <v>1791</v>
      </c>
      <c r="V77" s="3925" t="s">
        <v>1792</v>
      </c>
      <c r="W77" s="3580">
        <v>292684</v>
      </c>
      <c r="X77" s="3580">
        <v>282326</v>
      </c>
      <c r="Y77" s="3580">
        <v>135912</v>
      </c>
      <c r="Z77" s="3580">
        <v>45122</v>
      </c>
      <c r="AA77" s="3580">
        <v>365607</v>
      </c>
      <c r="AB77" s="3580">
        <f>AA77*0.57</f>
        <v>208395.99</v>
      </c>
      <c r="AC77" s="3580">
        <v>75612</v>
      </c>
      <c r="AD77" s="3580">
        <v>2145</v>
      </c>
      <c r="AE77" s="3580">
        <v>12718</v>
      </c>
      <c r="AF77" s="3580">
        <v>26</v>
      </c>
      <c r="AG77" s="3580">
        <v>37</v>
      </c>
      <c r="AH77" s="3580" t="s">
        <v>1738</v>
      </c>
      <c r="AI77" s="3580" t="s">
        <v>1738</v>
      </c>
      <c r="AJ77" s="3580">
        <v>53164</v>
      </c>
      <c r="AK77" s="3580">
        <v>16982</v>
      </c>
      <c r="AL77" s="3580">
        <v>60013</v>
      </c>
      <c r="AM77" s="3580">
        <v>575010</v>
      </c>
      <c r="AN77" s="3928">
        <v>43832</v>
      </c>
      <c r="AO77" s="3928">
        <v>44196</v>
      </c>
      <c r="AP77" s="3929" t="s">
        <v>1739</v>
      </c>
    </row>
    <row r="78" spans="1:42" s="3908" customFormat="1" ht="93.75" customHeight="1" x14ac:dyDescent="0.2">
      <c r="A78" s="3874"/>
      <c r="B78" s="3874"/>
      <c r="C78" s="3874"/>
      <c r="D78" s="2836"/>
      <c r="E78" s="2836"/>
      <c r="F78" s="2836"/>
      <c r="G78" s="3564"/>
      <c r="H78" s="3352"/>
      <c r="I78" s="2772"/>
      <c r="J78" s="3017"/>
      <c r="K78" s="3904"/>
      <c r="L78" s="2124"/>
      <c r="M78" s="2668"/>
      <c r="N78" s="3157"/>
      <c r="O78" s="3914"/>
      <c r="P78" s="3568"/>
      <c r="Q78" s="3576"/>
      <c r="R78" s="3926"/>
      <c r="S78" s="2115" t="s">
        <v>1843</v>
      </c>
      <c r="T78" s="3927">
        <f>4066666+30000000</f>
        <v>34066666</v>
      </c>
      <c r="U78" s="3886" t="s">
        <v>1791</v>
      </c>
      <c r="V78" s="3925" t="s">
        <v>1792</v>
      </c>
      <c r="W78" s="3581"/>
      <c r="X78" s="3581"/>
      <c r="Y78" s="3581"/>
      <c r="Z78" s="3581"/>
      <c r="AA78" s="3581"/>
      <c r="AB78" s="3581"/>
      <c r="AC78" s="3581"/>
      <c r="AD78" s="3581"/>
      <c r="AE78" s="3581"/>
      <c r="AF78" s="3581"/>
      <c r="AG78" s="3581"/>
      <c r="AH78" s="3581"/>
      <c r="AI78" s="3581"/>
      <c r="AJ78" s="3581"/>
      <c r="AK78" s="3581"/>
      <c r="AL78" s="3581"/>
      <c r="AM78" s="3581"/>
      <c r="AN78" s="3581"/>
      <c r="AO78" s="3581"/>
      <c r="AP78" s="3930"/>
    </row>
    <row r="79" spans="1:42" s="3908" customFormat="1" ht="46.5" customHeight="1" x14ac:dyDescent="0.2">
      <c r="A79" s="3874"/>
      <c r="B79" s="3874"/>
      <c r="C79" s="3874"/>
      <c r="D79" s="2836"/>
      <c r="E79" s="2836"/>
      <c r="F79" s="2836"/>
      <c r="G79" s="3564"/>
      <c r="H79" s="3352"/>
      <c r="I79" s="2772"/>
      <c r="J79" s="3017"/>
      <c r="K79" s="3904"/>
      <c r="L79" s="2124"/>
      <c r="M79" s="2668"/>
      <c r="N79" s="3157"/>
      <c r="O79" s="3914"/>
      <c r="P79" s="3568"/>
      <c r="Q79" s="3576"/>
      <c r="R79" s="3926"/>
      <c r="S79" s="2115" t="s">
        <v>1844</v>
      </c>
      <c r="T79" s="3927">
        <v>54733333</v>
      </c>
      <c r="U79" s="3886" t="s">
        <v>1791</v>
      </c>
      <c r="V79" s="3925" t="s">
        <v>1792</v>
      </c>
      <c r="W79" s="3581"/>
      <c r="X79" s="3581"/>
      <c r="Y79" s="3581"/>
      <c r="Z79" s="3581"/>
      <c r="AA79" s="3581"/>
      <c r="AB79" s="3581"/>
      <c r="AC79" s="3581"/>
      <c r="AD79" s="3581"/>
      <c r="AE79" s="3581"/>
      <c r="AF79" s="3581"/>
      <c r="AG79" s="3581"/>
      <c r="AH79" s="3581"/>
      <c r="AI79" s="3581"/>
      <c r="AJ79" s="3581"/>
      <c r="AK79" s="3581"/>
      <c r="AL79" s="3581"/>
      <c r="AM79" s="3581"/>
      <c r="AN79" s="3581"/>
      <c r="AO79" s="3581"/>
      <c r="AP79" s="3930"/>
    </row>
    <row r="80" spans="1:42" s="3908" customFormat="1" ht="64.5" customHeight="1" x14ac:dyDescent="0.2">
      <c r="A80" s="3874"/>
      <c r="B80" s="3874"/>
      <c r="C80" s="3874"/>
      <c r="D80" s="2836"/>
      <c r="E80" s="2836"/>
      <c r="F80" s="2836"/>
      <c r="G80" s="3564"/>
      <c r="H80" s="3352"/>
      <c r="I80" s="2772"/>
      <c r="J80" s="3017"/>
      <c r="K80" s="3904"/>
      <c r="L80" s="2124"/>
      <c r="M80" s="2668"/>
      <c r="N80" s="3157"/>
      <c r="O80" s="3914"/>
      <c r="P80" s="3568"/>
      <c r="Q80" s="3576"/>
      <c r="R80" s="3926"/>
      <c r="S80" s="2115" t="s">
        <v>1845</v>
      </c>
      <c r="T80" s="3927">
        <f>25047998+75000000</f>
        <v>100047998</v>
      </c>
      <c r="U80" s="3886" t="s">
        <v>1791</v>
      </c>
      <c r="V80" s="3925" t="s">
        <v>1792</v>
      </c>
      <c r="W80" s="3581"/>
      <c r="X80" s="3581"/>
      <c r="Y80" s="3581"/>
      <c r="Z80" s="3581"/>
      <c r="AA80" s="3581"/>
      <c r="AB80" s="3581"/>
      <c r="AC80" s="3581"/>
      <c r="AD80" s="3581"/>
      <c r="AE80" s="3581"/>
      <c r="AF80" s="3581"/>
      <c r="AG80" s="3581"/>
      <c r="AH80" s="3581"/>
      <c r="AI80" s="3581"/>
      <c r="AJ80" s="3581"/>
      <c r="AK80" s="3581"/>
      <c r="AL80" s="3581"/>
      <c r="AM80" s="3581"/>
      <c r="AN80" s="3581"/>
      <c r="AO80" s="3581"/>
      <c r="AP80" s="3930"/>
    </row>
    <row r="81" spans="1:42" s="3908" customFormat="1" ht="46.5" customHeight="1" x14ac:dyDescent="0.2">
      <c r="A81" s="3874"/>
      <c r="B81" s="3874"/>
      <c r="C81" s="3874"/>
      <c r="D81" s="2836"/>
      <c r="E81" s="2836"/>
      <c r="F81" s="2836"/>
      <c r="G81" s="3564"/>
      <c r="H81" s="3352"/>
      <c r="I81" s="2772"/>
      <c r="J81" s="3017"/>
      <c r="K81" s="3904"/>
      <c r="L81" s="2124" t="s">
        <v>2398</v>
      </c>
      <c r="M81" s="2668"/>
      <c r="N81" s="3157"/>
      <c r="O81" s="3914"/>
      <c r="P81" s="3568"/>
      <c r="Q81" s="3576"/>
      <c r="R81" s="3926"/>
      <c r="S81" s="2115" t="s">
        <v>1846</v>
      </c>
      <c r="T81" s="3927">
        <f>4600000+4000000</f>
        <v>8600000</v>
      </c>
      <c r="U81" s="3886" t="s">
        <v>1791</v>
      </c>
      <c r="V81" s="3917" t="s">
        <v>1792</v>
      </c>
      <c r="W81" s="3581"/>
      <c r="X81" s="3581"/>
      <c r="Y81" s="3581"/>
      <c r="Z81" s="3581"/>
      <c r="AA81" s="3581"/>
      <c r="AB81" s="3581"/>
      <c r="AC81" s="3581"/>
      <c r="AD81" s="3581"/>
      <c r="AE81" s="3581"/>
      <c r="AF81" s="3581"/>
      <c r="AG81" s="3581"/>
      <c r="AH81" s="3581"/>
      <c r="AI81" s="3581"/>
      <c r="AJ81" s="3581"/>
      <c r="AK81" s="3581"/>
      <c r="AL81" s="3581"/>
      <c r="AM81" s="3581"/>
      <c r="AN81" s="3581"/>
      <c r="AO81" s="3581"/>
      <c r="AP81" s="3930"/>
    </row>
    <row r="82" spans="1:42" s="3908" customFormat="1" ht="46.5" customHeight="1" x14ac:dyDescent="0.2">
      <c r="A82" s="3874"/>
      <c r="B82" s="3874"/>
      <c r="C82" s="3874"/>
      <c r="D82" s="2836"/>
      <c r="E82" s="2836"/>
      <c r="F82" s="2836"/>
      <c r="G82" s="3564"/>
      <c r="H82" s="3352"/>
      <c r="I82" s="2772"/>
      <c r="J82" s="3017"/>
      <c r="K82" s="3904"/>
      <c r="L82" s="2124" t="s">
        <v>2399</v>
      </c>
      <c r="M82" s="2668"/>
      <c r="N82" s="3157"/>
      <c r="O82" s="3914"/>
      <c r="P82" s="3568"/>
      <c r="Q82" s="3576"/>
      <c r="R82" s="3926"/>
      <c r="S82" s="2115" t="s">
        <v>1847</v>
      </c>
      <c r="T82" s="3927">
        <f>16636999+20000000</f>
        <v>36636999</v>
      </c>
      <c r="U82" s="3886" t="s">
        <v>1791</v>
      </c>
      <c r="V82" s="3917" t="s">
        <v>1792</v>
      </c>
      <c r="W82" s="3581"/>
      <c r="X82" s="3581"/>
      <c r="Y82" s="3581"/>
      <c r="Z82" s="3581"/>
      <c r="AA82" s="3581"/>
      <c r="AB82" s="3581"/>
      <c r="AC82" s="3581"/>
      <c r="AD82" s="3581"/>
      <c r="AE82" s="3581"/>
      <c r="AF82" s="3581"/>
      <c r="AG82" s="3581"/>
      <c r="AH82" s="3581"/>
      <c r="AI82" s="3581"/>
      <c r="AJ82" s="3581"/>
      <c r="AK82" s="3581"/>
      <c r="AL82" s="3581"/>
      <c r="AM82" s="3581"/>
      <c r="AN82" s="3581"/>
      <c r="AO82" s="3581"/>
      <c r="AP82" s="3930"/>
    </row>
    <row r="83" spans="1:42" s="3908" customFormat="1" ht="46.5" customHeight="1" x14ac:dyDescent="0.2">
      <c r="A83" s="3874"/>
      <c r="B83" s="3874"/>
      <c r="C83" s="3874"/>
      <c r="D83" s="2836"/>
      <c r="E83" s="2836"/>
      <c r="F83" s="2836"/>
      <c r="G83" s="3564"/>
      <c r="H83" s="3352"/>
      <c r="I83" s="2772"/>
      <c r="J83" s="3017"/>
      <c r="K83" s="3904"/>
      <c r="L83" s="2124" t="s">
        <v>2400</v>
      </c>
      <c r="M83" s="2668"/>
      <c r="N83" s="3157"/>
      <c r="O83" s="3914"/>
      <c r="P83" s="3568"/>
      <c r="Q83" s="3576"/>
      <c r="R83" s="3926"/>
      <c r="S83" s="2115" t="s">
        <v>1848</v>
      </c>
      <c r="T83" s="3927">
        <f>15200000+12000000</f>
        <v>27200000</v>
      </c>
      <c r="U83" s="3886" t="s">
        <v>1791</v>
      </c>
      <c r="V83" s="3917" t="s">
        <v>1792</v>
      </c>
      <c r="W83" s="3581"/>
      <c r="X83" s="3581"/>
      <c r="Y83" s="3581"/>
      <c r="Z83" s="3581"/>
      <c r="AA83" s="3581"/>
      <c r="AB83" s="3581"/>
      <c r="AC83" s="3581"/>
      <c r="AD83" s="3581"/>
      <c r="AE83" s="3581"/>
      <c r="AF83" s="3581"/>
      <c r="AG83" s="3581"/>
      <c r="AH83" s="3581"/>
      <c r="AI83" s="3581"/>
      <c r="AJ83" s="3581"/>
      <c r="AK83" s="3581"/>
      <c r="AL83" s="3581"/>
      <c r="AM83" s="3581"/>
      <c r="AN83" s="3581"/>
      <c r="AO83" s="3581"/>
      <c r="AP83" s="3930"/>
    </row>
    <row r="84" spans="1:42" s="3908" customFormat="1" ht="79.5" customHeight="1" x14ac:dyDescent="0.2">
      <c r="A84" s="3874"/>
      <c r="B84" s="3874"/>
      <c r="C84" s="3874"/>
      <c r="D84" s="2836"/>
      <c r="E84" s="2836"/>
      <c r="F84" s="2836"/>
      <c r="G84" s="3564"/>
      <c r="H84" s="3352"/>
      <c r="I84" s="2772"/>
      <c r="J84" s="3017"/>
      <c r="K84" s="3904"/>
      <c r="L84" s="2124"/>
      <c r="M84" s="2668"/>
      <c r="N84" s="3157"/>
      <c r="O84" s="3914"/>
      <c r="P84" s="3568"/>
      <c r="Q84" s="3576"/>
      <c r="R84" s="3926"/>
      <c r="S84" s="2115" t="s">
        <v>1849</v>
      </c>
      <c r="T84" s="3927">
        <v>70000000</v>
      </c>
      <c r="U84" s="3886" t="s">
        <v>1791</v>
      </c>
      <c r="V84" s="3917" t="s">
        <v>1792</v>
      </c>
      <c r="W84" s="3581"/>
      <c r="X84" s="3581"/>
      <c r="Y84" s="3581"/>
      <c r="Z84" s="3581"/>
      <c r="AA84" s="3581"/>
      <c r="AB84" s="3581"/>
      <c r="AC84" s="3581"/>
      <c r="AD84" s="3581"/>
      <c r="AE84" s="3581"/>
      <c r="AF84" s="3581"/>
      <c r="AG84" s="3581"/>
      <c r="AH84" s="3581"/>
      <c r="AI84" s="3581"/>
      <c r="AJ84" s="3581"/>
      <c r="AK84" s="3581"/>
      <c r="AL84" s="3581"/>
      <c r="AM84" s="3581"/>
      <c r="AN84" s="3581"/>
      <c r="AO84" s="3581"/>
      <c r="AP84" s="3930"/>
    </row>
    <row r="85" spans="1:42" s="3908" customFormat="1" ht="46.5" customHeight="1" x14ac:dyDescent="0.2">
      <c r="A85" s="3874"/>
      <c r="B85" s="3874"/>
      <c r="C85" s="3874"/>
      <c r="D85" s="2836"/>
      <c r="E85" s="2836"/>
      <c r="F85" s="2836"/>
      <c r="G85" s="3564"/>
      <c r="H85" s="3352"/>
      <c r="I85" s="2772"/>
      <c r="J85" s="3017"/>
      <c r="K85" s="3904"/>
      <c r="L85" s="2124"/>
      <c r="M85" s="2668"/>
      <c r="N85" s="3157"/>
      <c r="O85" s="3914"/>
      <c r="P85" s="3568"/>
      <c r="Q85" s="3576"/>
      <c r="R85" s="3926"/>
      <c r="S85" s="2115" t="s">
        <v>1850</v>
      </c>
      <c r="T85" s="3927">
        <f>60000000-20000000</f>
        <v>40000000</v>
      </c>
      <c r="U85" s="3886" t="s">
        <v>1791</v>
      </c>
      <c r="V85" s="3917" t="s">
        <v>1792</v>
      </c>
      <c r="W85" s="3581"/>
      <c r="X85" s="3581"/>
      <c r="Y85" s="3581"/>
      <c r="Z85" s="3581"/>
      <c r="AA85" s="3581"/>
      <c r="AB85" s="3581"/>
      <c r="AC85" s="3581"/>
      <c r="AD85" s="3581"/>
      <c r="AE85" s="3581"/>
      <c r="AF85" s="3581"/>
      <c r="AG85" s="3581"/>
      <c r="AH85" s="3581"/>
      <c r="AI85" s="3581"/>
      <c r="AJ85" s="3581"/>
      <c r="AK85" s="3581"/>
      <c r="AL85" s="3581"/>
      <c r="AM85" s="3581"/>
      <c r="AN85" s="3581"/>
      <c r="AO85" s="3581"/>
      <c r="AP85" s="3930"/>
    </row>
    <row r="86" spans="1:42" s="3908" customFormat="1" ht="46.5" customHeight="1" x14ac:dyDescent="0.2">
      <c r="A86" s="3874"/>
      <c r="B86" s="3874"/>
      <c r="C86" s="3874"/>
      <c r="D86" s="2836"/>
      <c r="E86" s="2836"/>
      <c r="F86" s="2836"/>
      <c r="G86" s="3564"/>
      <c r="H86" s="3352"/>
      <c r="I86" s="2772"/>
      <c r="J86" s="3017"/>
      <c r="K86" s="3904"/>
      <c r="L86" s="2124"/>
      <c r="M86" s="2668"/>
      <c r="N86" s="3157"/>
      <c r="O86" s="3914"/>
      <c r="P86" s="3568"/>
      <c r="Q86" s="3576"/>
      <c r="R86" s="3926"/>
      <c r="S86" s="2115" t="s">
        <v>1851</v>
      </c>
      <c r="T86" s="3927">
        <v>126000000</v>
      </c>
      <c r="U86" s="3886" t="s">
        <v>1852</v>
      </c>
      <c r="V86" s="3917" t="s">
        <v>1824</v>
      </c>
      <c r="W86" s="3581"/>
      <c r="X86" s="3581"/>
      <c r="Y86" s="3581"/>
      <c r="Z86" s="3581"/>
      <c r="AA86" s="3581"/>
      <c r="AB86" s="3581"/>
      <c r="AC86" s="3581"/>
      <c r="AD86" s="3581"/>
      <c r="AE86" s="3581"/>
      <c r="AF86" s="3581"/>
      <c r="AG86" s="3581"/>
      <c r="AH86" s="3581"/>
      <c r="AI86" s="3581"/>
      <c r="AJ86" s="3581"/>
      <c r="AK86" s="3581"/>
      <c r="AL86" s="3581"/>
      <c r="AM86" s="3581"/>
      <c r="AN86" s="3581"/>
      <c r="AO86" s="3581"/>
      <c r="AP86" s="3930"/>
    </row>
    <row r="87" spans="1:42" s="3908" customFormat="1" ht="46.5" customHeight="1" x14ac:dyDescent="0.2">
      <c r="A87" s="3874"/>
      <c r="B87" s="3874"/>
      <c r="C87" s="3874"/>
      <c r="D87" s="2836"/>
      <c r="E87" s="2836"/>
      <c r="F87" s="2836"/>
      <c r="G87" s="3564"/>
      <c r="H87" s="3352"/>
      <c r="I87" s="2772"/>
      <c r="J87" s="3017"/>
      <c r="K87" s="3904"/>
      <c r="L87" s="2124"/>
      <c r="M87" s="2668"/>
      <c r="N87" s="3157"/>
      <c r="O87" s="3914"/>
      <c r="P87" s="3568"/>
      <c r="Q87" s="3576"/>
      <c r="R87" s="3926"/>
      <c r="S87" s="2115" t="s">
        <v>1853</v>
      </c>
      <c r="T87" s="3927">
        <v>85000000</v>
      </c>
      <c r="U87" s="3886" t="s">
        <v>1852</v>
      </c>
      <c r="V87" s="3917" t="s">
        <v>1824</v>
      </c>
      <c r="W87" s="3581"/>
      <c r="X87" s="3581"/>
      <c r="Y87" s="3581"/>
      <c r="Z87" s="3581"/>
      <c r="AA87" s="3581"/>
      <c r="AB87" s="3581"/>
      <c r="AC87" s="3581"/>
      <c r="AD87" s="3581"/>
      <c r="AE87" s="3581"/>
      <c r="AF87" s="3581"/>
      <c r="AG87" s="3581"/>
      <c r="AH87" s="3581"/>
      <c r="AI87" s="3581"/>
      <c r="AJ87" s="3581"/>
      <c r="AK87" s="3581"/>
      <c r="AL87" s="3581"/>
      <c r="AM87" s="3581"/>
      <c r="AN87" s="3581"/>
      <c r="AO87" s="3581"/>
      <c r="AP87" s="3930"/>
    </row>
    <row r="88" spans="1:42" s="3908" customFormat="1" ht="46.5" customHeight="1" x14ac:dyDescent="0.2">
      <c r="A88" s="3874"/>
      <c r="B88" s="3874"/>
      <c r="C88" s="3874"/>
      <c r="D88" s="2836"/>
      <c r="E88" s="2836"/>
      <c r="F88" s="2836"/>
      <c r="G88" s="3564"/>
      <c r="H88" s="3352"/>
      <c r="I88" s="2772"/>
      <c r="J88" s="3017"/>
      <c r="K88" s="3904"/>
      <c r="L88" s="2124"/>
      <c r="M88" s="2668"/>
      <c r="N88" s="3157"/>
      <c r="O88" s="3914"/>
      <c r="P88" s="3568"/>
      <c r="Q88" s="3576"/>
      <c r="R88" s="3926"/>
      <c r="S88" s="2115" t="s">
        <v>1854</v>
      </c>
      <c r="T88" s="3927">
        <v>45000000</v>
      </c>
      <c r="U88" s="3886" t="s">
        <v>1852</v>
      </c>
      <c r="V88" s="3917" t="s">
        <v>1824</v>
      </c>
      <c r="W88" s="3581"/>
      <c r="X88" s="3581"/>
      <c r="Y88" s="3581"/>
      <c r="Z88" s="3581"/>
      <c r="AA88" s="3581"/>
      <c r="AB88" s="3581"/>
      <c r="AC88" s="3581"/>
      <c r="AD88" s="3581"/>
      <c r="AE88" s="3581"/>
      <c r="AF88" s="3581"/>
      <c r="AG88" s="3581"/>
      <c r="AH88" s="3581"/>
      <c r="AI88" s="3581"/>
      <c r="AJ88" s="3581"/>
      <c r="AK88" s="3581"/>
      <c r="AL88" s="3581"/>
      <c r="AM88" s="3581"/>
      <c r="AN88" s="3581"/>
      <c r="AO88" s="3581"/>
      <c r="AP88" s="3930"/>
    </row>
    <row r="89" spans="1:42" s="3908" customFormat="1" ht="27" customHeight="1" x14ac:dyDescent="0.2">
      <c r="A89" s="3874"/>
      <c r="B89" s="3874"/>
      <c r="C89" s="3874"/>
      <c r="D89" s="2836"/>
      <c r="E89" s="2836"/>
      <c r="F89" s="2836"/>
      <c r="G89" s="3401">
        <v>1903034</v>
      </c>
      <c r="H89" s="2601">
        <v>11.14</v>
      </c>
      <c r="I89" s="3931" t="s">
        <v>1634</v>
      </c>
      <c r="J89" s="2982" t="s">
        <v>1855</v>
      </c>
      <c r="K89" s="3904">
        <v>12</v>
      </c>
      <c r="L89" s="3913"/>
      <c r="M89" s="2668" t="s">
        <v>1856</v>
      </c>
      <c r="N89" s="3156" t="s">
        <v>1857</v>
      </c>
      <c r="O89" s="2669">
        <f>SUM(T89:T94)/P89</f>
        <v>1</v>
      </c>
      <c r="P89" s="3583">
        <f>SUM(T89:T94)</f>
        <v>96954000</v>
      </c>
      <c r="Q89" s="2397" t="s">
        <v>1858</v>
      </c>
      <c r="R89" s="3932" t="s">
        <v>1859</v>
      </c>
      <c r="S89" s="3570" t="s">
        <v>1860</v>
      </c>
      <c r="T89" s="3933">
        <v>25000000</v>
      </c>
      <c r="U89" s="3886" t="s">
        <v>1861</v>
      </c>
      <c r="V89" s="3894" t="s">
        <v>227</v>
      </c>
      <c r="W89" s="2620">
        <v>292684</v>
      </c>
      <c r="X89" s="2620">
        <v>282326</v>
      </c>
      <c r="Y89" s="2620">
        <v>135912</v>
      </c>
      <c r="Z89" s="2620">
        <v>45122</v>
      </c>
      <c r="AA89" s="2620">
        <v>365607</v>
      </c>
      <c r="AB89" s="2620">
        <f>AA89*0.56</f>
        <v>204739.92</v>
      </c>
      <c r="AC89" s="2620">
        <v>86875</v>
      </c>
      <c r="AD89" s="2620">
        <v>2145</v>
      </c>
      <c r="AE89" s="2620">
        <v>12718</v>
      </c>
      <c r="AF89" s="2620">
        <v>26</v>
      </c>
      <c r="AG89" s="2620">
        <v>37</v>
      </c>
      <c r="AH89" s="2601" t="s">
        <v>1738</v>
      </c>
      <c r="AI89" s="2601" t="s">
        <v>1738</v>
      </c>
      <c r="AJ89" s="2620">
        <v>53164</v>
      </c>
      <c r="AK89" s="2620">
        <v>16982</v>
      </c>
      <c r="AL89" s="2620">
        <v>60013</v>
      </c>
      <c r="AM89" s="2620">
        <v>575010</v>
      </c>
      <c r="AN89" s="3934">
        <v>43832</v>
      </c>
      <c r="AO89" s="3934">
        <v>44196</v>
      </c>
      <c r="AP89" s="3029" t="s">
        <v>1739</v>
      </c>
    </row>
    <row r="90" spans="1:42" s="3908" customFormat="1" ht="27" customHeight="1" x14ac:dyDescent="0.2">
      <c r="A90" s="3874"/>
      <c r="B90" s="3874"/>
      <c r="C90" s="3874"/>
      <c r="D90" s="2836"/>
      <c r="E90" s="2836"/>
      <c r="F90" s="2836"/>
      <c r="G90" s="2645"/>
      <c r="H90" s="2602"/>
      <c r="I90" s="2398"/>
      <c r="J90" s="2878"/>
      <c r="K90" s="3904"/>
      <c r="L90" s="2134"/>
      <c r="M90" s="2668"/>
      <c r="N90" s="3156"/>
      <c r="O90" s="2669"/>
      <c r="P90" s="3583"/>
      <c r="Q90" s="2398"/>
      <c r="R90" s="3935"/>
      <c r="S90" s="3579"/>
      <c r="T90" s="3933">
        <v>854666</v>
      </c>
      <c r="U90" s="3886" t="s">
        <v>1871</v>
      </c>
      <c r="V90" s="3936" t="s">
        <v>278</v>
      </c>
      <c r="W90" s="2621"/>
      <c r="X90" s="2621"/>
      <c r="Y90" s="2621"/>
      <c r="Z90" s="2621"/>
      <c r="AA90" s="2621"/>
      <c r="AB90" s="2621"/>
      <c r="AC90" s="2621"/>
      <c r="AD90" s="2621"/>
      <c r="AE90" s="2621"/>
      <c r="AF90" s="2621"/>
      <c r="AG90" s="2621"/>
      <c r="AH90" s="2602"/>
      <c r="AI90" s="2602"/>
      <c r="AJ90" s="2621"/>
      <c r="AK90" s="2621"/>
      <c r="AL90" s="2621"/>
      <c r="AM90" s="2621"/>
      <c r="AN90" s="2621"/>
      <c r="AO90" s="2621"/>
      <c r="AP90" s="3030"/>
    </row>
    <row r="91" spans="1:42" s="3908" customFormat="1" ht="27" customHeight="1" x14ac:dyDescent="0.2">
      <c r="A91" s="3874"/>
      <c r="B91" s="3874"/>
      <c r="C91" s="3874"/>
      <c r="D91" s="2836"/>
      <c r="E91" s="2836"/>
      <c r="F91" s="2836"/>
      <c r="G91" s="2645"/>
      <c r="H91" s="2602"/>
      <c r="I91" s="2398"/>
      <c r="J91" s="2878"/>
      <c r="K91" s="3904"/>
      <c r="L91" s="2134" t="s">
        <v>2401</v>
      </c>
      <c r="M91" s="2668"/>
      <c r="N91" s="3157"/>
      <c r="O91" s="2669"/>
      <c r="P91" s="3583"/>
      <c r="Q91" s="2398"/>
      <c r="R91" s="3935"/>
      <c r="S91" s="3578" t="s">
        <v>1862</v>
      </c>
      <c r="T91" s="3933">
        <v>25000000</v>
      </c>
      <c r="U91" s="3886" t="s">
        <v>1861</v>
      </c>
      <c r="V91" s="3894" t="s">
        <v>227</v>
      </c>
      <c r="W91" s="2621"/>
      <c r="X91" s="2621"/>
      <c r="Y91" s="2621"/>
      <c r="Z91" s="2621"/>
      <c r="AA91" s="2621"/>
      <c r="AB91" s="2621"/>
      <c r="AC91" s="2621"/>
      <c r="AD91" s="2621"/>
      <c r="AE91" s="2621"/>
      <c r="AF91" s="2621"/>
      <c r="AG91" s="2621"/>
      <c r="AH91" s="2602"/>
      <c r="AI91" s="2602"/>
      <c r="AJ91" s="2621"/>
      <c r="AK91" s="2621"/>
      <c r="AL91" s="2621"/>
      <c r="AM91" s="2621"/>
      <c r="AN91" s="2621"/>
      <c r="AO91" s="2621"/>
      <c r="AP91" s="3030"/>
    </row>
    <row r="92" spans="1:42" s="3908" customFormat="1" ht="27" customHeight="1" x14ac:dyDescent="0.2">
      <c r="A92" s="3874"/>
      <c r="B92" s="3874"/>
      <c r="C92" s="3874"/>
      <c r="D92" s="2836"/>
      <c r="E92" s="2836"/>
      <c r="F92" s="2836"/>
      <c r="G92" s="2645"/>
      <c r="H92" s="2602"/>
      <c r="I92" s="2398"/>
      <c r="J92" s="2878"/>
      <c r="K92" s="3904"/>
      <c r="L92" s="2134" t="s">
        <v>2402</v>
      </c>
      <c r="M92" s="2668"/>
      <c r="N92" s="3575"/>
      <c r="O92" s="3485"/>
      <c r="P92" s="3584"/>
      <c r="Q92" s="2398"/>
      <c r="R92" s="3935"/>
      <c r="S92" s="3579"/>
      <c r="T92" s="3933">
        <v>10772667</v>
      </c>
      <c r="U92" s="3886" t="s">
        <v>1871</v>
      </c>
      <c r="V92" s="3936" t="s">
        <v>278</v>
      </c>
      <c r="W92" s="2621"/>
      <c r="X92" s="2621"/>
      <c r="Y92" s="2621"/>
      <c r="Z92" s="2621"/>
      <c r="AA92" s="2621"/>
      <c r="AB92" s="2621"/>
      <c r="AC92" s="2621"/>
      <c r="AD92" s="2621"/>
      <c r="AE92" s="2621"/>
      <c r="AF92" s="2621"/>
      <c r="AG92" s="2621"/>
      <c r="AH92" s="2602"/>
      <c r="AI92" s="2602"/>
      <c r="AJ92" s="2621"/>
      <c r="AK92" s="2621"/>
      <c r="AL92" s="2621"/>
      <c r="AM92" s="2621"/>
      <c r="AN92" s="2621"/>
      <c r="AO92" s="2621"/>
      <c r="AP92" s="3030"/>
    </row>
    <row r="93" spans="1:42" s="3908" customFormat="1" ht="27" customHeight="1" x14ac:dyDescent="0.2">
      <c r="A93" s="3874"/>
      <c r="B93" s="3874"/>
      <c r="C93" s="3874"/>
      <c r="D93" s="2836"/>
      <c r="E93" s="2836"/>
      <c r="F93" s="2836"/>
      <c r="G93" s="2645"/>
      <c r="H93" s="2602"/>
      <c r="I93" s="2398"/>
      <c r="J93" s="2878"/>
      <c r="K93" s="3904"/>
      <c r="L93" s="2134"/>
      <c r="M93" s="2668"/>
      <c r="N93" s="3575"/>
      <c r="O93" s="3485"/>
      <c r="P93" s="3584"/>
      <c r="Q93" s="2398"/>
      <c r="R93" s="3935"/>
      <c r="S93" s="3578" t="s">
        <v>1863</v>
      </c>
      <c r="T93" s="3933">
        <v>24554000</v>
      </c>
      <c r="U93" s="3886" t="s">
        <v>1861</v>
      </c>
      <c r="V93" s="3894" t="s">
        <v>227</v>
      </c>
      <c r="W93" s="2621"/>
      <c r="X93" s="2621"/>
      <c r="Y93" s="2621"/>
      <c r="Z93" s="2621"/>
      <c r="AA93" s="2621"/>
      <c r="AB93" s="2621"/>
      <c r="AC93" s="2621"/>
      <c r="AD93" s="2621"/>
      <c r="AE93" s="2621"/>
      <c r="AF93" s="2621"/>
      <c r="AG93" s="2621"/>
      <c r="AH93" s="2602"/>
      <c r="AI93" s="2602"/>
      <c r="AJ93" s="2621"/>
      <c r="AK93" s="2621"/>
      <c r="AL93" s="2621"/>
      <c r="AM93" s="2621"/>
      <c r="AN93" s="2621"/>
      <c r="AO93" s="2621"/>
      <c r="AP93" s="3030"/>
    </row>
    <row r="94" spans="1:42" s="3908" customFormat="1" ht="27" customHeight="1" x14ac:dyDescent="0.2">
      <c r="A94" s="3874"/>
      <c r="B94" s="3874"/>
      <c r="C94" s="3874"/>
      <c r="D94" s="2836"/>
      <c r="E94" s="2836"/>
      <c r="F94" s="2836"/>
      <c r="G94" s="2645"/>
      <c r="H94" s="2602"/>
      <c r="I94" s="2398"/>
      <c r="J94" s="2878"/>
      <c r="K94" s="3904"/>
      <c r="L94" s="3923"/>
      <c r="M94" s="2668"/>
      <c r="N94" s="3575"/>
      <c r="O94" s="3485"/>
      <c r="P94" s="3584"/>
      <c r="Q94" s="2398"/>
      <c r="R94" s="3935"/>
      <c r="S94" s="3579"/>
      <c r="T94" s="3933">
        <v>10772667</v>
      </c>
      <c r="U94" s="3886" t="s">
        <v>1871</v>
      </c>
      <c r="V94" s="3936" t="s">
        <v>278</v>
      </c>
      <c r="W94" s="3582"/>
      <c r="X94" s="3582"/>
      <c r="Y94" s="3582"/>
      <c r="Z94" s="3582"/>
      <c r="AA94" s="3582"/>
      <c r="AB94" s="3582"/>
      <c r="AC94" s="3582"/>
      <c r="AD94" s="3582"/>
      <c r="AE94" s="3582"/>
      <c r="AF94" s="3582"/>
      <c r="AG94" s="3582"/>
      <c r="AH94" s="2603"/>
      <c r="AI94" s="2603"/>
      <c r="AJ94" s="3582"/>
      <c r="AK94" s="3582"/>
      <c r="AL94" s="3582"/>
      <c r="AM94" s="3582"/>
      <c r="AN94" s="3582"/>
      <c r="AO94" s="3582"/>
      <c r="AP94" s="3031"/>
    </row>
    <row r="95" spans="1:42" s="3908" customFormat="1" ht="27" customHeight="1" x14ac:dyDescent="0.2">
      <c r="A95" s="3874"/>
      <c r="B95" s="3874"/>
      <c r="C95" s="3874"/>
      <c r="D95" s="2836"/>
      <c r="E95" s="2836"/>
      <c r="F95" s="2836"/>
      <c r="G95" s="3937">
        <v>1903045</v>
      </c>
      <c r="H95" s="2735">
        <v>11.16</v>
      </c>
      <c r="I95" s="2871" t="s">
        <v>1864</v>
      </c>
      <c r="J95" s="2725" t="s">
        <v>1865</v>
      </c>
      <c r="K95" s="3904">
        <v>60</v>
      </c>
      <c r="L95" s="3913"/>
      <c r="M95" s="2707" t="s">
        <v>1866</v>
      </c>
      <c r="N95" s="2772" t="s">
        <v>1867</v>
      </c>
      <c r="O95" s="3485">
        <f>SUM(T95+T96)/P95</f>
        <v>0.53586236772077478</v>
      </c>
      <c r="P95" s="3586">
        <f>SUM(T95:T107)</f>
        <v>64636000</v>
      </c>
      <c r="Q95" s="2772" t="s">
        <v>1868</v>
      </c>
      <c r="R95" s="2864" t="s">
        <v>1869</v>
      </c>
      <c r="S95" s="2871" t="s">
        <v>1870</v>
      </c>
      <c r="T95" s="3938">
        <v>12076000</v>
      </c>
      <c r="U95" s="3886" t="s">
        <v>1861</v>
      </c>
      <c r="V95" s="3894" t="s">
        <v>227</v>
      </c>
      <c r="W95" s="2644">
        <v>292684</v>
      </c>
      <c r="X95" s="2644">
        <v>282326</v>
      </c>
      <c r="Y95" s="2644">
        <v>135912</v>
      </c>
      <c r="Z95" s="2644">
        <v>45122</v>
      </c>
      <c r="AA95" s="2644">
        <v>365607</v>
      </c>
      <c r="AB95" s="2644">
        <f>AA95*0.97</f>
        <v>354638.79</v>
      </c>
      <c r="AC95" s="2644">
        <v>86875</v>
      </c>
      <c r="AD95" s="2644">
        <v>2145</v>
      </c>
      <c r="AE95" s="2644">
        <v>12718</v>
      </c>
      <c r="AF95" s="2644">
        <v>26</v>
      </c>
      <c r="AG95" s="2644">
        <v>37</v>
      </c>
      <c r="AH95" s="2601" t="s">
        <v>1738</v>
      </c>
      <c r="AI95" s="2601" t="s">
        <v>1738</v>
      </c>
      <c r="AJ95" s="2644">
        <v>53164</v>
      </c>
      <c r="AK95" s="2644">
        <v>16982</v>
      </c>
      <c r="AL95" s="2644">
        <v>60013</v>
      </c>
      <c r="AM95" s="2644">
        <v>575010</v>
      </c>
      <c r="AN95" s="3939">
        <v>43832</v>
      </c>
      <c r="AO95" s="3939">
        <v>44196</v>
      </c>
      <c r="AP95" s="2846" t="s">
        <v>1739</v>
      </c>
    </row>
    <row r="96" spans="1:42" s="3908" customFormat="1" ht="27" customHeight="1" x14ac:dyDescent="0.2">
      <c r="A96" s="3874"/>
      <c r="B96" s="3874"/>
      <c r="C96" s="3874"/>
      <c r="D96" s="2836"/>
      <c r="E96" s="2836"/>
      <c r="F96" s="2836"/>
      <c r="G96" s="3940"/>
      <c r="H96" s="2707"/>
      <c r="I96" s="3253"/>
      <c r="J96" s="2891"/>
      <c r="K96" s="3904"/>
      <c r="L96" s="2134"/>
      <c r="M96" s="2707"/>
      <c r="N96" s="2772"/>
      <c r="O96" s="2708"/>
      <c r="P96" s="3586"/>
      <c r="Q96" s="2772"/>
      <c r="R96" s="2864"/>
      <c r="S96" s="3253"/>
      <c r="T96" s="3941">
        <v>22560000</v>
      </c>
      <c r="U96" s="3886" t="s">
        <v>1871</v>
      </c>
      <c r="V96" s="3936" t="s">
        <v>278</v>
      </c>
      <c r="W96" s="2645"/>
      <c r="X96" s="2645"/>
      <c r="Y96" s="2645"/>
      <c r="Z96" s="2645"/>
      <c r="AA96" s="2645"/>
      <c r="AB96" s="2645"/>
      <c r="AC96" s="2645"/>
      <c r="AD96" s="2645"/>
      <c r="AE96" s="2645"/>
      <c r="AF96" s="2645"/>
      <c r="AG96" s="2645"/>
      <c r="AH96" s="2602"/>
      <c r="AI96" s="2602"/>
      <c r="AJ96" s="2645"/>
      <c r="AK96" s="2645"/>
      <c r="AL96" s="2645"/>
      <c r="AM96" s="2645"/>
      <c r="AN96" s="2645"/>
      <c r="AO96" s="2645"/>
      <c r="AP96" s="2847"/>
    </row>
    <row r="97" spans="1:42" s="3908" customFormat="1" ht="66.75" customHeight="1" x14ac:dyDescent="0.2">
      <c r="A97" s="3874"/>
      <c r="B97" s="3874"/>
      <c r="C97" s="3874"/>
      <c r="D97" s="2836"/>
      <c r="E97" s="2836"/>
      <c r="F97" s="2836"/>
      <c r="G97" s="2137">
        <v>1903001</v>
      </c>
      <c r="H97" s="2091">
        <v>11.1</v>
      </c>
      <c r="I97" s="2099" t="s">
        <v>414</v>
      </c>
      <c r="J97" s="2084" t="s">
        <v>1785</v>
      </c>
      <c r="K97" s="3942">
        <v>1</v>
      </c>
      <c r="L97" s="2134"/>
      <c r="M97" s="2668"/>
      <c r="N97" s="2772"/>
      <c r="O97" s="2094">
        <f>SUM(T97)/P95</f>
        <v>0</v>
      </c>
      <c r="P97" s="2668"/>
      <c r="Q97" s="2772"/>
      <c r="R97" s="2864"/>
      <c r="S97" s="2084" t="s">
        <v>1872</v>
      </c>
      <c r="T97" s="3943">
        <v>0</v>
      </c>
      <c r="U97" s="2116" t="s">
        <v>1738</v>
      </c>
      <c r="V97" s="3944" t="s">
        <v>1738</v>
      </c>
      <c r="W97" s="2645"/>
      <c r="X97" s="2645"/>
      <c r="Y97" s="2645"/>
      <c r="Z97" s="2645"/>
      <c r="AA97" s="2645"/>
      <c r="AB97" s="2645"/>
      <c r="AC97" s="2645"/>
      <c r="AD97" s="2645"/>
      <c r="AE97" s="2645"/>
      <c r="AF97" s="2645"/>
      <c r="AG97" s="2645"/>
      <c r="AH97" s="2602"/>
      <c r="AI97" s="2602"/>
      <c r="AJ97" s="2645"/>
      <c r="AK97" s="2645"/>
      <c r="AL97" s="2645"/>
      <c r="AM97" s="2645"/>
      <c r="AN97" s="2645"/>
      <c r="AO97" s="2645"/>
      <c r="AP97" s="2847"/>
    </row>
    <row r="98" spans="1:42" s="3908" customFormat="1" ht="30" customHeight="1" x14ac:dyDescent="0.2">
      <c r="A98" s="3874"/>
      <c r="B98" s="3874"/>
      <c r="C98" s="3874"/>
      <c r="D98" s="2836"/>
      <c r="E98" s="2836"/>
      <c r="F98" s="2836"/>
      <c r="G98" s="3564">
        <v>1903010</v>
      </c>
      <c r="H98" s="3387">
        <v>11.3</v>
      </c>
      <c r="I98" s="2772" t="s">
        <v>1873</v>
      </c>
      <c r="J98" s="3468" t="s">
        <v>1874</v>
      </c>
      <c r="K98" s="3904">
        <v>12</v>
      </c>
      <c r="L98" s="2134"/>
      <c r="M98" s="2668"/>
      <c r="N98" s="2772"/>
      <c r="O98" s="3485">
        <f>SUM(T98:T104)/P95</f>
        <v>0.23206881613961261</v>
      </c>
      <c r="P98" s="2668"/>
      <c r="Q98" s="2772"/>
      <c r="R98" s="2864"/>
      <c r="S98" s="2871" t="s">
        <v>1875</v>
      </c>
      <c r="T98" s="3945">
        <f>560667</f>
        <v>560667</v>
      </c>
      <c r="U98" s="3886" t="s">
        <v>1871</v>
      </c>
      <c r="V98" s="3897" t="s">
        <v>278</v>
      </c>
      <c r="W98" s="2645"/>
      <c r="X98" s="2645"/>
      <c r="Y98" s="2645"/>
      <c r="Z98" s="2645"/>
      <c r="AA98" s="2645"/>
      <c r="AB98" s="2645"/>
      <c r="AC98" s="2645"/>
      <c r="AD98" s="2645"/>
      <c r="AE98" s="2645"/>
      <c r="AF98" s="2645"/>
      <c r="AG98" s="2645"/>
      <c r="AH98" s="2602"/>
      <c r="AI98" s="2602"/>
      <c r="AJ98" s="2645"/>
      <c r="AK98" s="2645"/>
      <c r="AL98" s="2645"/>
      <c r="AM98" s="2645"/>
      <c r="AN98" s="2645"/>
      <c r="AO98" s="2645"/>
      <c r="AP98" s="2847"/>
    </row>
    <row r="99" spans="1:42" s="3908" customFormat="1" ht="30" customHeight="1" x14ac:dyDescent="0.2">
      <c r="A99" s="3874"/>
      <c r="B99" s="3874"/>
      <c r="C99" s="3874"/>
      <c r="D99" s="2836"/>
      <c r="E99" s="2836"/>
      <c r="F99" s="2836"/>
      <c r="G99" s="3564"/>
      <c r="H99" s="3387"/>
      <c r="I99" s="2772"/>
      <c r="J99" s="3946"/>
      <c r="K99" s="3904"/>
      <c r="L99" s="2134"/>
      <c r="M99" s="2668"/>
      <c r="N99" s="2772"/>
      <c r="O99" s="3947"/>
      <c r="P99" s="2668"/>
      <c r="Q99" s="2772"/>
      <c r="R99" s="2864"/>
      <c r="S99" s="3253"/>
      <c r="T99" s="3938">
        <v>2439333</v>
      </c>
      <c r="U99" s="3886" t="s">
        <v>1861</v>
      </c>
      <c r="V99" s="3894" t="s">
        <v>227</v>
      </c>
      <c r="W99" s="2645"/>
      <c r="X99" s="2645"/>
      <c r="Y99" s="2645"/>
      <c r="Z99" s="2645"/>
      <c r="AA99" s="2645"/>
      <c r="AB99" s="2645"/>
      <c r="AC99" s="2645"/>
      <c r="AD99" s="2645"/>
      <c r="AE99" s="2645"/>
      <c r="AF99" s="2645"/>
      <c r="AG99" s="2645"/>
      <c r="AH99" s="2602"/>
      <c r="AI99" s="2602"/>
      <c r="AJ99" s="2645"/>
      <c r="AK99" s="2645"/>
      <c r="AL99" s="2645"/>
      <c r="AM99" s="2645"/>
      <c r="AN99" s="2645"/>
      <c r="AO99" s="2645"/>
      <c r="AP99" s="2847"/>
    </row>
    <row r="100" spans="1:42" s="3908" customFormat="1" ht="36" customHeight="1" x14ac:dyDescent="0.2">
      <c r="A100" s="3874"/>
      <c r="B100" s="3874"/>
      <c r="C100" s="3874"/>
      <c r="D100" s="2836"/>
      <c r="E100" s="2836"/>
      <c r="F100" s="2836"/>
      <c r="G100" s="3564"/>
      <c r="H100" s="3387"/>
      <c r="I100" s="2772"/>
      <c r="J100" s="3946"/>
      <c r="K100" s="3904"/>
      <c r="L100" s="2134" t="s">
        <v>2403</v>
      </c>
      <c r="M100" s="2668"/>
      <c r="N100" s="2772"/>
      <c r="O100" s="3947"/>
      <c r="P100" s="2668"/>
      <c r="Q100" s="2772"/>
      <c r="R100" s="2864"/>
      <c r="S100" s="2871" t="s">
        <v>1876</v>
      </c>
      <c r="T100" s="3938">
        <f>4106000</f>
        <v>4106000</v>
      </c>
      <c r="U100" s="3886" t="s">
        <v>1871</v>
      </c>
      <c r="V100" s="3894" t="s">
        <v>278</v>
      </c>
      <c r="W100" s="2645"/>
      <c r="X100" s="2645"/>
      <c r="Y100" s="2645"/>
      <c r="Z100" s="2645"/>
      <c r="AA100" s="2645"/>
      <c r="AB100" s="2645"/>
      <c r="AC100" s="2645"/>
      <c r="AD100" s="2645"/>
      <c r="AE100" s="2645"/>
      <c r="AF100" s="2645"/>
      <c r="AG100" s="2645"/>
      <c r="AH100" s="2602"/>
      <c r="AI100" s="2602"/>
      <c r="AJ100" s="2645"/>
      <c r="AK100" s="2645"/>
      <c r="AL100" s="2645"/>
      <c r="AM100" s="2645"/>
      <c r="AN100" s="2645"/>
      <c r="AO100" s="2645"/>
      <c r="AP100" s="2847"/>
    </row>
    <row r="101" spans="1:42" s="3908" customFormat="1" ht="36" customHeight="1" x14ac:dyDescent="0.2">
      <c r="A101" s="3874"/>
      <c r="B101" s="3874"/>
      <c r="C101" s="3874"/>
      <c r="D101" s="2836"/>
      <c r="E101" s="2836"/>
      <c r="F101" s="2836"/>
      <c r="G101" s="3564"/>
      <c r="H101" s="3387"/>
      <c r="I101" s="2772"/>
      <c r="J101" s="3946"/>
      <c r="K101" s="3904"/>
      <c r="L101" s="2134" t="s">
        <v>2404</v>
      </c>
      <c r="M101" s="2668"/>
      <c r="N101" s="2772"/>
      <c r="O101" s="3947"/>
      <c r="P101" s="2668"/>
      <c r="Q101" s="2772"/>
      <c r="R101" s="2864"/>
      <c r="S101" s="3253"/>
      <c r="T101" s="3938">
        <v>894000</v>
      </c>
      <c r="U101" s="3886" t="s">
        <v>1861</v>
      </c>
      <c r="V101" s="3894" t="s">
        <v>227</v>
      </c>
      <c r="W101" s="2645"/>
      <c r="X101" s="2645"/>
      <c r="Y101" s="2645"/>
      <c r="Z101" s="2645"/>
      <c r="AA101" s="2645"/>
      <c r="AB101" s="2645"/>
      <c r="AC101" s="2645"/>
      <c r="AD101" s="2645"/>
      <c r="AE101" s="2645"/>
      <c r="AF101" s="2645"/>
      <c r="AG101" s="2645"/>
      <c r="AH101" s="2602"/>
      <c r="AI101" s="2602"/>
      <c r="AJ101" s="2645"/>
      <c r="AK101" s="2645"/>
      <c r="AL101" s="2645"/>
      <c r="AM101" s="2645"/>
      <c r="AN101" s="2645"/>
      <c r="AO101" s="2645"/>
      <c r="AP101" s="2847"/>
    </row>
    <row r="102" spans="1:42" s="3908" customFormat="1" ht="39.75" customHeight="1" x14ac:dyDescent="0.2">
      <c r="A102" s="3874"/>
      <c r="B102" s="3874"/>
      <c r="C102" s="3874"/>
      <c r="D102" s="2836"/>
      <c r="E102" s="2836"/>
      <c r="F102" s="2836"/>
      <c r="G102" s="3564"/>
      <c r="H102" s="3387"/>
      <c r="I102" s="2772"/>
      <c r="J102" s="3946"/>
      <c r="K102" s="3904"/>
      <c r="L102" s="2134"/>
      <c r="M102" s="2668"/>
      <c r="N102" s="2772"/>
      <c r="O102" s="3947"/>
      <c r="P102" s="2668"/>
      <c r="Q102" s="2772"/>
      <c r="R102" s="2864"/>
      <c r="S102" s="2871" t="s">
        <v>1877</v>
      </c>
      <c r="T102" s="3938">
        <f>2533333</f>
        <v>2533333</v>
      </c>
      <c r="U102" s="3886" t="s">
        <v>1871</v>
      </c>
      <c r="V102" s="3894" t="s">
        <v>278</v>
      </c>
      <c r="W102" s="2645"/>
      <c r="X102" s="2645"/>
      <c r="Y102" s="2645"/>
      <c r="Z102" s="2645"/>
      <c r="AA102" s="2645"/>
      <c r="AB102" s="2645"/>
      <c r="AC102" s="2645"/>
      <c r="AD102" s="2645"/>
      <c r="AE102" s="2645"/>
      <c r="AF102" s="2645"/>
      <c r="AG102" s="2645"/>
      <c r="AH102" s="2602"/>
      <c r="AI102" s="2602"/>
      <c r="AJ102" s="2645"/>
      <c r="AK102" s="2645"/>
      <c r="AL102" s="2645"/>
      <c r="AM102" s="2645"/>
      <c r="AN102" s="2645"/>
      <c r="AO102" s="2645"/>
      <c r="AP102" s="2847"/>
    </row>
    <row r="103" spans="1:42" s="3908" customFormat="1" ht="39.75" customHeight="1" x14ac:dyDescent="0.2">
      <c r="A103" s="3874"/>
      <c r="B103" s="3874"/>
      <c r="C103" s="3874"/>
      <c r="D103" s="2836"/>
      <c r="E103" s="2836"/>
      <c r="F103" s="2836"/>
      <c r="G103" s="3564"/>
      <c r="H103" s="3387"/>
      <c r="I103" s="2772"/>
      <c r="J103" s="3946"/>
      <c r="K103" s="3904"/>
      <c r="L103" s="2134"/>
      <c r="M103" s="2668"/>
      <c r="N103" s="2772"/>
      <c r="O103" s="3947"/>
      <c r="P103" s="2668"/>
      <c r="Q103" s="2772"/>
      <c r="R103" s="2864"/>
      <c r="S103" s="3253"/>
      <c r="T103" s="3938">
        <v>466667</v>
      </c>
      <c r="U103" s="3886" t="s">
        <v>1861</v>
      </c>
      <c r="V103" s="3894" t="s">
        <v>227</v>
      </c>
      <c r="W103" s="2645"/>
      <c r="X103" s="2645"/>
      <c r="Y103" s="2645"/>
      <c r="Z103" s="2645"/>
      <c r="AA103" s="2645"/>
      <c r="AB103" s="2645"/>
      <c r="AC103" s="2645"/>
      <c r="AD103" s="2645"/>
      <c r="AE103" s="2645"/>
      <c r="AF103" s="2645"/>
      <c r="AG103" s="2645"/>
      <c r="AH103" s="2602"/>
      <c r="AI103" s="2602"/>
      <c r="AJ103" s="2645"/>
      <c r="AK103" s="2645"/>
      <c r="AL103" s="2645"/>
      <c r="AM103" s="2645"/>
      <c r="AN103" s="2645"/>
      <c r="AO103" s="2645"/>
      <c r="AP103" s="2847"/>
    </row>
    <row r="104" spans="1:42" s="3908" customFormat="1" ht="66.75" customHeight="1" x14ac:dyDescent="0.2">
      <c r="A104" s="3874"/>
      <c r="B104" s="3874"/>
      <c r="C104" s="3874"/>
      <c r="D104" s="2836"/>
      <c r="E104" s="2836"/>
      <c r="F104" s="2836"/>
      <c r="G104" s="3564"/>
      <c r="H104" s="3387"/>
      <c r="I104" s="2772"/>
      <c r="J104" s="3467"/>
      <c r="K104" s="3904"/>
      <c r="L104" s="2134"/>
      <c r="M104" s="2668"/>
      <c r="N104" s="2772"/>
      <c r="O104" s="2708"/>
      <c r="P104" s="2668"/>
      <c r="Q104" s="2772"/>
      <c r="R104" s="2864"/>
      <c r="S104" s="2087" t="s">
        <v>1878</v>
      </c>
      <c r="T104" s="3938">
        <v>4000000</v>
      </c>
      <c r="U104" s="3886" t="s">
        <v>1861</v>
      </c>
      <c r="V104" s="3894" t="s">
        <v>227</v>
      </c>
      <c r="W104" s="2645"/>
      <c r="X104" s="2645"/>
      <c r="Y104" s="2645"/>
      <c r="Z104" s="2645"/>
      <c r="AA104" s="2645"/>
      <c r="AB104" s="2645"/>
      <c r="AC104" s="2645"/>
      <c r="AD104" s="2645"/>
      <c r="AE104" s="2645"/>
      <c r="AF104" s="2645"/>
      <c r="AG104" s="2645"/>
      <c r="AH104" s="2602"/>
      <c r="AI104" s="2602"/>
      <c r="AJ104" s="2645"/>
      <c r="AK104" s="2645"/>
      <c r="AL104" s="2645"/>
      <c r="AM104" s="2645"/>
      <c r="AN104" s="2645"/>
      <c r="AO104" s="2645"/>
      <c r="AP104" s="2847"/>
    </row>
    <row r="105" spans="1:42" s="3908" customFormat="1" ht="66.75" customHeight="1" x14ac:dyDescent="0.2">
      <c r="A105" s="3874"/>
      <c r="B105" s="3874"/>
      <c r="C105" s="3874"/>
      <c r="D105" s="2836"/>
      <c r="E105" s="2836"/>
      <c r="F105" s="2836"/>
      <c r="G105" s="3564">
        <v>1903011</v>
      </c>
      <c r="H105" s="3387">
        <v>11.4</v>
      </c>
      <c r="I105" s="2772" t="s">
        <v>1781</v>
      </c>
      <c r="J105" s="3468" t="s">
        <v>1834</v>
      </c>
      <c r="K105" s="3904">
        <v>12</v>
      </c>
      <c r="L105" s="2134"/>
      <c r="M105" s="2668"/>
      <c r="N105" s="2772"/>
      <c r="O105" s="3485">
        <f>SUM(T105+T107+T106)/P95</f>
        <v>0.23206881613961261</v>
      </c>
      <c r="P105" s="2668"/>
      <c r="Q105" s="2772"/>
      <c r="R105" s="2864"/>
      <c r="S105" s="2087" t="s">
        <v>1879</v>
      </c>
      <c r="T105" s="3938">
        <v>7500000</v>
      </c>
      <c r="U105" s="3886" t="s">
        <v>1861</v>
      </c>
      <c r="V105" s="3894" t="s">
        <v>227</v>
      </c>
      <c r="W105" s="2645"/>
      <c r="X105" s="2645"/>
      <c r="Y105" s="2645"/>
      <c r="Z105" s="2645"/>
      <c r="AA105" s="2645"/>
      <c r="AB105" s="2645"/>
      <c r="AC105" s="2645"/>
      <c r="AD105" s="2645"/>
      <c r="AE105" s="2645"/>
      <c r="AF105" s="2645"/>
      <c r="AG105" s="2645"/>
      <c r="AH105" s="2602"/>
      <c r="AI105" s="2602"/>
      <c r="AJ105" s="2645"/>
      <c r="AK105" s="2645"/>
      <c r="AL105" s="2645"/>
      <c r="AM105" s="2645"/>
      <c r="AN105" s="2645"/>
      <c r="AO105" s="2645"/>
      <c r="AP105" s="2847"/>
    </row>
    <row r="106" spans="1:42" s="3908" customFormat="1" ht="66.75" customHeight="1" x14ac:dyDescent="0.2">
      <c r="A106" s="3874"/>
      <c r="B106" s="3874"/>
      <c r="C106" s="3874"/>
      <c r="D106" s="2836"/>
      <c r="E106" s="2836"/>
      <c r="F106" s="2836"/>
      <c r="G106" s="3564"/>
      <c r="H106" s="3387"/>
      <c r="I106" s="2772"/>
      <c r="J106" s="3946"/>
      <c r="K106" s="3904"/>
      <c r="L106" s="2134"/>
      <c r="M106" s="2735"/>
      <c r="N106" s="2871"/>
      <c r="O106" s="3947"/>
      <c r="P106" s="2668"/>
      <c r="Q106" s="2772"/>
      <c r="R106" s="2864"/>
      <c r="S106" s="2871" t="s">
        <v>1880</v>
      </c>
      <c r="T106" s="3938">
        <f>4000000</f>
        <v>4000000</v>
      </c>
      <c r="U106" s="3886" t="s">
        <v>1871</v>
      </c>
      <c r="V106" s="3894" t="s">
        <v>278</v>
      </c>
      <c r="W106" s="2645"/>
      <c r="X106" s="2645"/>
      <c r="Y106" s="2645"/>
      <c r="Z106" s="2645"/>
      <c r="AA106" s="2645"/>
      <c r="AB106" s="2645"/>
      <c r="AC106" s="2645"/>
      <c r="AD106" s="2645"/>
      <c r="AE106" s="2645"/>
      <c r="AF106" s="2645"/>
      <c r="AG106" s="2645"/>
      <c r="AH106" s="2602"/>
      <c r="AI106" s="2602"/>
      <c r="AJ106" s="2645"/>
      <c r="AK106" s="2645"/>
      <c r="AL106" s="2645"/>
      <c r="AM106" s="2645"/>
      <c r="AN106" s="2645"/>
      <c r="AO106" s="2645"/>
      <c r="AP106" s="2847"/>
    </row>
    <row r="107" spans="1:42" s="3908" customFormat="1" ht="66.75" customHeight="1" x14ac:dyDescent="0.2">
      <c r="A107" s="3874"/>
      <c r="B107" s="3874"/>
      <c r="C107" s="3874"/>
      <c r="D107" s="2836"/>
      <c r="E107" s="2836"/>
      <c r="F107" s="2836"/>
      <c r="G107" s="3564"/>
      <c r="H107" s="3387"/>
      <c r="I107" s="2772"/>
      <c r="J107" s="3467"/>
      <c r="K107" s="3904"/>
      <c r="L107" s="3923"/>
      <c r="M107" s="2735"/>
      <c r="N107" s="2871"/>
      <c r="O107" s="2708"/>
      <c r="P107" s="2668"/>
      <c r="Q107" s="2772"/>
      <c r="R107" s="2864"/>
      <c r="S107" s="3253"/>
      <c r="T107" s="3938">
        <v>3500000</v>
      </c>
      <c r="U107" s="3886" t="s">
        <v>1861</v>
      </c>
      <c r="V107" s="3894" t="s">
        <v>227</v>
      </c>
      <c r="W107" s="2646"/>
      <c r="X107" s="2646"/>
      <c r="Y107" s="2646"/>
      <c r="Z107" s="2646"/>
      <c r="AA107" s="2646"/>
      <c r="AB107" s="2646"/>
      <c r="AC107" s="2646"/>
      <c r="AD107" s="2646"/>
      <c r="AE107" s="2646"/>
      <c r="AF107" s="2646"/>
      <c r="AG107" s="2646"/>
      <c r="AH107" s="2603"/>
      <c r="AI107" s="2603"/>
      <c r="AJ107" s="2646"/>
      <c r="AK107" s="2646"/>
      <c r="AL107" s="2646"/>
      <c r="AM107" s="2646"/>
      <c r="AN107" s="2646"/>
      <c r="AO107" s="2646"/>
      <c r="AP107" s="2848"/>
    </row>
    <row r="108" spans="1:42" s="3908" customFormat="1" ht="66.75" customHeight="1" x14ac:dyDescent="0.2">
      <c r="A108" s="3874"/>
      <c r="B108" s="3874"/>
      <c r="C108" s="3874"/>
      <c r="D108" s="2836"/>
      <c r="E108" s="2836"/>
      <c r="F108" s="2836"/>
      <c r="G108" s="2098">
        <v>1903047</v>
      </c>
      <c r="H108" s="2136">
        <v>11.17</v>
      </c>
      <c r="I108" s="2122" t="s">
        <v>1881</v>
      </c>
      <c r="J108" s="2105" t="s">
        <v>1882</v>
      </c>
      <c r="K108" s="3942">
        <v>1</v>
      </c>
      <c r="L108" s="2124"/>
      <c r="M108" s="3387" t="s">
        <v>1883</v>
      </c>
      <c r="N108" s="2772" t="s">
        <v>1884</v>
      </c>
      <c r="O108" s="2139">
        <f>SUM(T108)/P108</f>
        <v>0.13333333333333333</v>
      </c>
      <c r="P108" s="3948">
        <f>SUM(T108:T112)</f>
        <v>150000000</v>
      </c>
      <c r="Q108" s="2848" t="s">
        <v>1885</v>
      </c>
      <c r="R108" s="3935" t="s">
        <v>1886</v>
      </c>
      <c r="S108" s="2108" t="s">
        <v>1887</v>
      </c>
      <c r="T108" s="3949">
        <f>3871334+16128666</f>
        <v>20000000</v>
      </c>
      <c r="U108" s="3886" t="s">
        <v>1888</v>
      </c>
      <c r="V108" s="3897" t="s">
        <v>1889</v>
      </c>
      <c r="W108" s="2601">
        <v>292684</v>
      </c>
      <c r="X108" s="2601">
        <v>282326</v>
      </c>
      <c r="Y108" s="2601">
        <v>135912</v>
      </c>
      <c r="Z108" s="2601">
        <v>45122</v>
      </c>
      <c r="AA108" s="2601">
        <v>365607</v>
      </c>
      <c r="AB108" s="2601">
        <f>AA108*0.25</f>
        <v>91401.75</v>
      </c>
      <c r="AC108" s="2601">
        <v>86875</v>
      </c>
      <c r="AD108" s="2601">
        <v>2145</v>
      </c>
      <c r="AE108" s="2601">
        <v>12718</v>
      </c>
      <c r="AF108" s="2601">
        <v>26</v>
      </c>
      <c r="AG108" s="2601">
        <v>37</v>
      </c>
      <c r="AH108" s="2601" t="s">
        <v>1738</v>
      </c>
      <c r="AI108" s="2601" t="s">
        <v>1738</v>
      </c>
      <c r="AJ108" s="2601">
        <v>53164</v>
      </c>
      <c r="AK108" s="2601">
        <v>16982</v>
      </c>
      <c r="AL108" s="2601">
        <v>60013</v>
      </c>
      <c r="AM108" s="2601">
        <v>575010</v>
      </c>
      <c r="AN108" s="3494">
        <v>43832</v>
      </c>
      <c r="AO108" s="3494">
        <v>44196</v>
      </c>
      <c r="AP108" s="2397" t="s">
        <v>1739</v>
      </c>
    </row>
    <row r="109" spans="1:42" s="3908" customFormat="1" ht="66.75" customHeight="1" x14ac:dyDescent="0.2">
      <c r="A109" s="3874"/>
      <c r="B109" s="3874"/>
      <c r="C109" s="3874"/>
      <c r="D109" s="2836"/>
      <c r="E109" s="2836"/>
      <c r="F109" s="2836"/>
      <c r="G109" s="2136">
        <v>1903019</v>
      </c>
      <c r="H109" s="2091">
        <v>11.8</v>
      </c>
      <c r="I109" s="2087" t="s">
        <v>1890</v>
      </c>
      <c r="J109" s="2123" t="s">
        <v>1891</v>
      </c>
      <c r="K109" s="3942">
        <v>75</v>
      </c>
      <c r="L109" s="2124"/>
      <c r="M109" s="3387"/>
      <c r="N109" s="2772"/>
      <c r="O109" s="2010">
        <v>7.0000000000000007E-2</v>
      </c>
      <c r="P109" s="3948"/>
      <c r="Q109" s="2848"/>
      <c r="R109" s="3935"/>
      <c r="S109" s="2115" t="s">
        <v>1892</v>
      </c>
      <c r="T109" s="3949">
        <f>44400000-33200000</f>
        <v>11200000</v>
      </c>
      <c r="U109" s="3886" t="s">
        <v>1888</v>
      </c>
      <c r="V109" s="3897" t="s">
        <v>1889</v>
      </c>
      <c r="W109" s="2602"/>
      <c r="X109" s="2602"/>
      <c r="Y109" s="2602"/>
      <c r="Z109" s="2602"/>
      <c r="AA109" s="2602"/>
      <c r="AB109" s="2602"/>
      <c r="AC109" s="2602"/>
      <c r="AD109" s="2602"/>
      <c r="AE109" s="2602"/>
      <c r="AF109" s="2602"/>
      <c r="AG109" s="2602"/>
      <c r="AH109" s="2602"/>
      <c r="AI109" s="2602"/>
      <c r="AJ109" s="2602"/>
      <c r="AK109" s="2602"/>
      <c r="AL109" s="2602"/>
      <c r="AM109" s="2602"/>
      <c r="AN109" s="2602"/>
      <c r="AO109" s="2602"/>
      <c r="AP109" s="2398"/>
    </row>
    <row r="110" spans="1:42" s="3908" customFormat="1" ht="66.75" customHeight="1" x14ac:dyDescent="0.2">
      <c r="A110" s="3874"/>
      <c r="B110" s="3874"/>
      <c r="C110" s="3874"/>
      <c r="D110" s="2836"/>
      <c r="E110" s="2836"/>
      <c r="F110" s="2836"/>
      <c r="G110" s="2100">
        <v>1903028</v>
      </c>
      <c r="H110" s="2098">
        <v>11.12</v>
      </c>
      <c r="I110" s="2108" t="s">
        <v>1893</v>
      </c>
      <c r="J110" s="2108" t="s">
        <v>1894</v>
      </c>
      <c r="K110" s="3942">
        <v>250</v>
      </c>
      <c r="L110" s="2124" t="s">
        <v>2405</v>
      </c>
      <c r="M110" s="3387"/>
      <c r="N110" s="2772"/>
      <c r="O110" s="2011">
        <f>SUM(T110)/P108</f>
        <v>9.3333333333333338E-2</v>
      </c>
      <c r="P110" s="3950"/>
      <c r="Q110" s="3608"/>
      <c r="R110" s="3935"/>
      <c r="S110" s="2115" t="s">
        <v>1895</v>
      </c>
      <c r="T110" s="3949">
        <f>20000000-6000000</f>
        <v>14000000</v>
      </c>
      <c r="U110" s="3886" t="s">
        <v>1888</v>
      </c>
      <c r="V110" s="3894" t="s">
        <v>1889</v>
      </c>
      <c r="W110" s="2602"/>
      <c r="X110" s="2602"/>
      <c r="Y110" s="2602"/>
      <c r="Z110" s="2602"/>
      <c r="AA110" s="2602"/>
      <c r="AB110" s="2602"/>
      <c r="AC110" s="2602"/>
      <c r="AD110" s="2602"/>
      <c r="AE110" s="2602"/>
      <c r="AF110" s="2602"/>
      <c r="AG110" s="2602"/>
      <c r="AH110" s="2602"/>
      <c r="AI110" s="2602"/>
      <c r="AJ110" s="2602"/>
      <c r="AK110" s="2602"/>
      <c r="AL110" s="2602"/>
      <c r="AM110" s="2602"/>
      <c r="AN110" s="2602"/>
      <c r="AO110" s="2602"/>
      <c r="AP110" s="2398"/>
    </row>
    <row r="111" spans="1:42" s="3908" customFormat="1" ht="66.75" customHeight="1" x14ac:dyDescent="0.2">
      <c r="A111" s="3874"/>
      <c r="B111" s="3874"/>
      <c r="C111" s="3874"/>
      <c r="D111" s="2836"/>
      <c r="E111" s="2836"/>
      <c r="F111" s="2836"/>
      <c r="G111" s="2644">
        <v>1903025</v>
      </c>
      <c r="H111" s="3587">
        <v>11.1</v>
      </c>
      <c r="I111" s="2397" t="s">
        <v>1896</v>
      </c>
      <c r="J111" s="2397" t="s">
        <v>1897</v>
      </c>
      <c r="K111" s="3904">
        <v>12</v>
      </c>
      <c r="L111" s="2124" t="s">
        <v>2406</v>
      </c>
      <c r="M111" s="3387"/>
      <c r="N111" s="2772"/>
      <c r="O111" s="3589">
        <f>SUM(T111:T112)/P108</f>
        <v>0.69866666666666666</v>
      </c>
      <c r="P111" s="3950"/>
      <c r="Q111" s="3608"/>
      <c r="R111" s="3935"/>
      <c r="S111" s="2115" t="s">
        <v>1898</v>
      </c>
      <c r="T111" s="3949">
        <f>18395333+20000000</f>
        <v>38395333</v>
      </c>
      <c r="U111" s="3886" t="s">
        <v>1888</v>
      </c>
      <c r="V111" s="3894" t="s">
        <v>1889</v>
      </c>
      <c r="W111" s="2602"/>
      <c r="X111" s="2602"/>
      <c r="Y111" s="2602"/>
      <c r="Z111" s="2602"/>
      <c r="AA111" s="2602"/>
      <c r="AB111" s="2602"/>
      <c r="AC111" s="2602"/>
      <c r="AD111" s="2602"/>
      <c r="AE111" s="2602"/>
      <c r="AF111" s="2602"/>
      <c r="AG111" s="2602"/>
      <c r="AH111" s="2602"/>
      <c r="AI111" s="2602"/>
      <c r="AJ111" s="2602"/>
      <c r="AK111" s="2602"/>
      <c r="AL111" s="2602"/>
      <c r="AM111" s="2602"/>
      <c r="AN111" s="2602"/>
      <c r="AO111" s="2602"/>
      <c r="AP111" s="2398"/>
    </row>
    <row r="112" spans="1:42" s="3908" customFormat="1" ht="66.75" customHeight="1" x14ac:dyDescent="0.2">
      <c r="A112" s="3874"/>
      <c r="B112" s="3874"/>
      <c r="C112" s="3874"/>
      <c r="D112" s="2836"/>
      <c r="E112" s="2836"/>
      <c r="F112" s="2836"/>
      <c r="G112" s="2646"/>
      <c r="H112" s="3588"/>
      <c r="I112" s="2819"/>
      <c r="J112" s="2819"/>
      <c r="K112" s="3904"/>
      <c r="L112" s="2135"/>
      <c r="M112" s="3387"/>
      <c r="N112" s="2772"/>
      <c r="O112" s="3590"/>
      <c r="P112" s="3950"/>
      <c r="Q112" s="3608"/>
      <c r="R112" s="3951"/>
      <c r="S112" s="2115" t="s">
        <v>1899</v>
      </c>
      <c r="T112" s="3949">
        <f>15600000+20000000+30804667</f>
        <v>66404667</v>
      </c>
      <c r="U112" s="3886" t="s">
        <v>1888</v>
      </c>
      <c r="V112" s="3894" t="s">
        <v>1889</v>
      </c>
      <c r="W112" s="2603"/>
      <c r="X112" s="2603"/>
      <c r="Y112" s="2603"/>
      <c r="Z112" s="2603"/>
      <c r="AA112" s="2603"/>
      <c r="AB112" s="2603"/>
      <c r="AC112" s="2603"/>
      <c r="AD112" s="2603"/>
      <c r="AE112" s="2603"/>
      <c r="AF112" s="2603"/>
      <c r="AG112" s="2603"/>
      <c r="AH112" s="2603"/>
      <c r="AI112" s="2603"/>
      <c r="AJ112" s="2603"/>
      <c r="AK112" s="2603"/>
      <c r="AL112" s="2603"/>
      <c r="AM112" s="2603"/>
      <c r="AN112" s="2603"/>
      <c r="AO112" s="2603"/>
      <c r="AP112" s="2819"/>
    </row>
    <row r="113" spans="1:42" s="3908" customFormat="1" ht="18.75" customHeight="1" x14ac:dyDescent="0.2">
      <c r="A113" s="3874"/>
      <c r="B113" s="3874"/>
      <c r="C113" s="3874"/>
      <c r="D113" s="1243">
        <v>12</v>
      </c>
      <c r="E113" s="1244" t="s">
        <v>1900</v>
      </c>
      <c r="F113" s="1245"/>
      <c r="G113" s="209"/>
      <c r="H113" s="209"/>
      <c r="I113" s="210"/>
      <c r="J113" s="210"/>
      <c r="K113" s="1490"/>
      <c r="L113" s="1490"/>
      <c r="M113" s="1520"/>
      <c r="N113" s="3952"/>
      <c r="O113" s="2005"/>
      <c r="P113" s="1520"/>
      <c r="Q113" s="652"/>
      <c r="R113" s="3879"/>
      <c r="S113" s="210"/>
      <c r="T113" s="3953"/>
      <c r="U113" s="3954"/>
      <c r="V113" s="3955"/>
      <c r="W113" s="2004"/>
      <c r="X113" s="2004"/>
      <c r="Y113" s="2004"/>
      <c r="Z113" s="2004"/>
      <c r="AA113" s="2004"/>
      <c r="AB113" s="2004"/>
      <c r="AC113" s="2004"/>
      <c r="AD113" s="2004"/>
      <c r="AE113" s="2004"/>
      <c r="AF113" s="2004"/>
      <c r="AG113" s="2004"/>
      <c r="AH113" s="2004"/>
      <c r="AI113" s="2004"/>
      <c r="AJ113" s="2004"/>
      <c r="AK113" s="2004"/>
      <c r="AL113" s="2004"/>
      <c r="AM113" s="2004"/>
      <c r="AN113" s="2004"/>
      <c r="AO113" s="2004"/>
      <c r="AP113" s="3956"/>
    </row>
    <row r="114" spans="1:42" s="3908" customFormat="1" ht="50.25" customHeight="1" x14ac:dyDescent="0.2">
      <c r="A114" s="3874"/>
      <c r="B114" s="3874"/>
      <c r="C114" s="3874"/>
      <c r="D114" s="3957"/>
      <c r="E114" s="3957"/>
      <c r="F114" s="3957"/>
      <c r="G114" s="2644">
        <v>1905028</v>
      </c>
      <c r="H114" s="2601">
        <v>12.12</v>
      </c>
      <c r="I114" s="2397" t="s">
        <v>1901</v>
      </c>
      <c r="J114" s="2397" t="s">
        <v>1902</v>
      </c>
      <c r="K114" s="3904">
        <v>12</v>
      </c>
      <c r="L114" s="2088"/>
      <c r="M114" s="2601" t="s">
        <v>1732</v>
      </c>
      <c r="N114" s="2397" t="s">
        <v>1903</v>
      </c>
      <c r="O114" s="2624">
        <f>SUM(T114:T120)/(P12+P114)</f>
        <v>0.33898305084745761</v>
      </c>
      <c r="P114" s="3591">
        <f>SUM(T114:T125)</f>
        <v>68000000</v>
      </c>
      <c r="Q114" s="2397" t="s">
        <v>1904</v>
      </c>
      <c r="R114" s="2982" t="s">
        <v>1905</v>
      </c>
      <c r="S114" s="2141" t="s">
        <v>1906</v>
      </c>
      <c r="T114" s="3893">
        <v>5238268</v>
      </c>
      <c r="U114" s="3958" t="s">
        <v>1791</v>
      </c>
      <c r="V114" s="3887" t="s">
        <v>1907</v>
      </c>
      <c r="W114" s="2620" t="s">
        <v>1738</v>
      </c>
      <c r="X114" s="2620" t="s">
        <v>1738</v>
      </c>
      <c r="Y114" s="2620">
        <v>64149</v>
      </c>
      <c r="Z114" s="2620" t="s">
        <v>1738</v>
      </c>
      <c r="AA114" s="2620" t="s">
        <v>1738</v>
      </c>
      <c r="AB114" s="2620" t="s">
        <v>1738</v>
      </c>
      <c r="AC114" s="2620" t="s">
        <v>1738</v>
      </c>
      <c r="AD114" s="2620" t="s">
        <v>1738</v>
      </c>
      <c r="AE114" s="2620" t="s">
        <v>1738</v>
      </c>
      <c r="AF114" s="2620" t="s">
        <v>1738</v>
      </c>
      <c r="AG114" s="2620" t="s">
        <v>1738</v>
      </c>
      <c r="AH114" s="2620" t="s">
        <v>1738</v>
      </c>
      <c r="AI114" s="2620" t="s">
        <v>1738</v>
      </c>
      <c r="AJ114" s="2620" t="s">
        <v>1738</v>
      </c>
      <c r="AK114" s="2620" t="s">
        <v>1738</v>
      </c>
      <c r="AL114" s="2620" t="s">
        <v>1738</v>
      </c>
      <c r="AM114" s="2620" t="s">
        <v>1738</v>
      </c>
      <c r="AN114" s="3934">
        <v>43832</v>
      </c>
      <c r="AO114" s="3934">
        <v>44196</v>
      </c>
      <c r="AP114" s="3029" t="s">
        <v>1739</v>
      </c>
    </row>
    <row r="115" spans="1:42" s="3908" customFormat="1" ht="50.25" customHeight="1" x14ac:dyDescent="0.2">
      <c r="A115" s="3874"/>
      <c r="B115" s="3874"/>
      <c r="C115" s="3874"/>
      <c r="D115" s="3957"/>
      <c r="E115" s="3957"/>
      <c r="F115" s="3957"/>
      <c r="G115" s="2645"/>
      <c r="H115" s="2602"/>
      <c r="I115" s="2398"/>
      <c r="J115" s="2398"/>
      <c r="K115" s="3904"/>
      <c r="L115" s="2089"/>
      <c r="M115" s="2602"/>
      <c r="N115" s="2398"/>
      <c r="O115" s="2625"/>
      <c r="P115" s="3592"/>
      <c r="Q115" s="2398"/>
      <c r="R115" s="2878"/>
      <c r="S115" s="2115" t="s">
        <v>1908</v>
      </c>
      <c r="T115" s="3893">
        <v>6266666</v>
      </c>
      <c r="U115" s="3958" t="s">
        <v>1791</v>
      </c>
      <c r="V115" s="3887" t="s">
        <v>1907</v>
      </c>
      <c r="W115" s="2621"/>
      <c r="X115" s="2621"/>
      <c r="Y115" s="2621"/>
      <c r="Z115" s="2621"/>
      <c r="AA115" s="2621"/>
      <c r="AB115" s="2621"/>
      <c r="AC115" s="2621"/>
      <c r="AD115" s="2621"/>
      <c r="AE115" s="2621"/>
      <c r="AF115" s="2621"/>
      <c r="AG115" s="2621"/>
      <c r="AH115" s="2621"/>
      <c r="AI115" s="2621"/>
      <c r="AJ115" s="2621"/>
      <c r="AK115" s="2621"/>
      <c r="AL115" s="2621"/>
      <c r="AM115" s="2621"/>
      <c r="AN115" s="2621"/>
      <c r="AO115" s="2621"/>
      <c r="AP115" s="3030"/>
    </row>
    <row r="116" spans="1:42" s="3908" customFormat="1" ht="50.25" customHeight="1" x14ac:dyDescent="0.2">
      <c r="A116" s="3874"/>
      <c r="B116" s="3874"/>
      <c r="C116" s="3874"/>
      <c r="D116" s="3957"/>
      <c r="E116" s="3957"/>
      <c r="F116" s="3957"/>
      <c r="G116" s="2645"/>
      <c r="H116" s="2602"/>
      <c r="I116" s="2398"/>
      <c r="J116" s="2398"/>
      <c r="K116" s="3904"/>
      <c r="L116" s="2089"/>
      <c r="M116" s="2602"/>
      <c r="N116" s="2398"/>
      <c r="O116" s="2625"/>
      <c r="P116" s="3592"/>
      <c r="Q116" s="2398"/>
      <c r="R116" s="2878"/>
      <c r="S116" s="2115" t="s">
        <v>1909</v>
      </c>
      <c r="T116" s="3893">
        <v>5000000</v>
      </c>
      <c r="U116" s="3958" t="s">
        <v>1791</v>
      </c>
      <c r="V116" s="3887" t="s">
        <v>1907</v>
      </c>
      <c r="W116" s="2621"/>
      <c r="X116" s="2621"/>
      <c r="Y116" s="2621"/>
      <c r="Z116" s="2621"/>
      <c r="AA116" s="2621"/>
      <c r="AB116" s="2621"/>
      <c r="AC116" s="2621"/>
      <c r="AD116" s="2621"/>
      <c r="AE116" s="2621"/>
      <c r="AF116" s="2621"/>
      <c r="AG116" s="2621"/>
      <c r="AH116" s="2621"/>
      <c r="AI116" s="2621"/>
      <c r="AJ116" s="2621"/>
      <c r="AK116" s="2621"/>
      <c r="AL116" s="2621"/>
      <c r="AM116" s="2621"/>
      <c r="AN116" s="2621"/>
      <c r="AO116" s="2621"/>
      <c r="AP116" s="3030"/>
    </row>
    <row r="117" spans="1:42" s="3908" customFormat="1" ht="50.25" customHeight="1" x14ac:dyDescent="0.2">
      <c r="A117" s="3874"/>
      <c r="B117" s="3874"/>
      <c r="C117" s="3874"/>
      <c r="D117" s="3957"/>
      <c r="E117" s="3957"/>
      <c r="F117" s="3957"/>
      <c r="G117" s="2645"/>
      <c r="H117" s="2602"/>
      <c r="I117" s="2398"/>
      <c r="J117" s="2398"/>
      <c r="K117" s="3904"/>
      <c r="L117" s="2089"/>
      <c r="M117" s="2602"/>
      <c r="N117" s="2398"/>
      <c r="O117" s="2625"/>
      <c r="P117" s="3592"/>
      <c r="Q117" s="2398"/>
      <c r="R117" s="2878"/>
      <c r="S117" s="2115" t="s">
        <v>1910</v>
      </c>
      <c r="T117" s="3893">
        <v>5000000</v>
      </c>
      <c r="U117" s="3958" t="s">
        <v>1791</v>
      </c>
      <c r="V117" s="3887" t="s">
        <v>1907</v>
      </c>
      <c r="W117" s="2621"/>
      <c r="X117" s="2621"/>
      <c r="Y117" s="2621"/>
      <c r="Z117" s="2621"/>
      <c r="AA117" s="2621"/>
      <c r="AB117" s="2621"/>
      <c r="AC117" s="2621"/>
      <c r="AD117" s="2621"/>
      <c r="AE117" s="2621"/>
      <c r="AF117" s="2621"/>
      <c r="AG117" s="2621"/>
      <c r="AH117" s="2621"/>
      <c r="AI117" s="2621"/>
      <c r="AJ117" s="2621"/>
      <c r="AK117" s="2621"/>
      <c r="AL117" s="2621"/>
      <c r="AM117" s="2621"/>
      <c r="AN117" s="2621"/>
      <c r="AO117" s="2621"/>
      <c r="AP117" s="3030"/>
    </row>
    <row r="118" spans="1:42" s="3908" customFormat="1" ht="50.25" customHeight="1" x14ac:dyDescent="0.2">
      <c r="A118" s="3874"/>
      <c r="B118" s="3874"/>
      <c r="C118" s="3874"/>
      <c r="D118" s="3957"/>
      <c r="E118" s="3957"/>
      <c r="F118" s="3957"/>
      <c r="G118" s="2645"/>
      <c r="H118" s="2602"/>
      <c r="I118" s="2398"/>
      <c r="J118" s="2398"/>
      <c r="K118" s="3904"/>
      <c r="L118" s="2089"/>
      <c r="M118" s="2602"/>
      <c r="N118" s="2398"/>
      <c r="O118" s="2625"/>
      <c r="P118" s="3592"/>
      <c r="Q118" s="2398"/>
      <c r="R118" s="2878"/>
      <c r="S118" s="2115" t="s">
        <v>1911</v>
      </c>
      <c r="T118" s="3893">
        <v>8571600</v>
      </c>
      <c r="U118" s="3958" t="s">
        <v>1791</v>
      </c>
      <c r="V118" s="3887" t="s">
        <v>1907</v>
      </c>
      <c r="W118" s="2621"/>
      <c r="X118" s="2621"/>
      <c r="Y118" s="2621"/>
      <c r="Z118" s="2621"/>
      <c r="AA118" s="2621"/>
      <c r="AB118" s="2621"/>
      <c r="AC118" s="2621"/>
      <c r="AD118" s="2621"/>
      <c r="AE118" s="2621"/>
      <c r="AF118" s="2621"/>
      <c r="AG118" s="2621"/>
      <c r="AH118" s="2621"/>
      <c r="AI118" s="2621"/>
      <c r="AJ118" s="2621"/>
      <c r="AK118" s="2621"/>
      <c r="AL118" s="2621"/>
      <c r="AM118" s="2621"/>
      <c r="AN118" s="2621"/>
      <c r="AO118" s="2621"/>
      <c r="AP118" s="3030"/>
    </row>
    <row r="119" spans="1:42" s="3908" customFormat="1" ht="50.25" customHeight="1" x14ac:dyDescent="0.2">
      <c r="A119" s="3874"/>
      <c r="B119" s="3874"/>
      <c r="C119" s="3874"/>
      <c r="D119" s="3957"/>
      <c r="E119" s="3957"/>
      <c r="F119" s="3957"/>
      <c r="G119" s="2645"/>
      <c r="H119" s="2602"/>
      <c r="I119" s="2398"/>
      <c r="J119" s="2398"/>
      <c r="K119" s="3904"/>
      <c r="L119" s="2089" t="s">
        <v>2407</v>
      </c>
      <c r="M119" s="2602"/>
      <c r="N119" s="2398"/>
      <c r="O119" s="2625"/>
      <c r="P119" s="3592"/>
      <c r="Q119" s="2398"/>
      <c r="R119" s="2878"/>
      <c r="S119" s="2115" t="s">
        <v>1912</v>
      </c>
      <c r="T119" s="3893">
        <v>4323466</v>
      </c>
      <c r="U119" s="3958" t="s">
        <v>1791</v>
      </c>
      <c r="V119" s="3887" t="s">
        <v>1907</v>
      </c>
      <c r="W119" s="2621"/>
      <c r="X119" s="2621"/>
      <c r="Y119" s="2621"/>
      <c r="Z119" s="2621"/>
      <c r="AA119" s="2621"/>
      <c r="AB119" s="2621"/>
      <c r="AC119" s="2621"/>
      <c r="AD119" s="2621"/>
      <c r="AE119" s="2621"/>
      <c r="AF119" s="2621"/>
      <c r="AG119" s="2621"/>
      <c r="AH119" s="2621"/>
      <c r="AI119" s="2621"/>
      <c r="AJ119" s="2621"/>
      <c r="AK119" s="2621"/>
      <c r="AL119" s="2621"/>
      <c r="AM119" s="2621"/>
      <c r="AN119" s="2621"/>
      <c r="AO119" s="2621"/>
      <c r="AP119" s="3030"/>
    </row>
    <row r="120" spans="1:42" s="3908" customFormat="1" ht="50.25" customHeight="1" x14ac:dyDescent="0.2">
      <c r="A120" s="3874"/>
      <c r="B120" s="3874"/>
      <c r="C120" s="3874"/>
      <c r="D120" s="3957"/>
      <c r="E120" s="3957"/>
      <c r="F120" s="3957"/>
      <c r="G120" s="2645"/>
      <c r="H120" s="2602"/>
      <c r="I120" s="2398"/>
      <c r="J120" s="2398"/>
      <c r="K120" s="3904"/>
      <c r="L120" s="2089" t="s">
        <v>2408</v>
      </c>
      <c r="M120" s="2602"/>
      <c r="N120" s="2398"/>
      <c r="O120" s="2625"/>
      <c r="P120" s="3592"/>
      <c r="Q120" s="2398"/>
      <c r="R120" s="2878"/>
      <c r="S120" s="2115" t="s">
        <v>1913</v>
      </c>
      <c r="T120" s="3893">
        <v>5600000</v>
      </c>
      <c r="U120" s="3958" t="s">
        <v>1791</v>
      </c>
      <c r="V120" s="3891" t="s">
        <v>1907</v>
      </c>
      <c r="W120" s="2621"/>
      <c r="X120" s="2621"/>
      <c r="Y120" s="2621"/>
      <c r="Z120" s="2621"/>
      <c r="AA120" s="2621"/>
      <c r="AB120" s="2621"/>
      <c r="AC120" s="2621"/>
      <c r="AD120" s="2621"/>
      <c r="AE120" s="2621"/>
      <c r="AF120" s="2621"/>
      <c r="AG120" s="2621"/>
      <c r="AH120" s="2621"/>
      <c r="AI120" s="2621"/>
      <c r="AJ120" s="2621"/>
      <c r="AK120" s="2621"/>
      <c r="AL120" s="2621"/>
      <c r="AM120" s="2621"/>
      <c r="AN120" s="2621"/>
      <c r="AO120" s="2621"/>
      <c r="AP120" s="3030"/>
    </row>
    <row r="121" spans="1:42" s="3908" customFormat="1" ht="95.25" customHeight="1" x14ac:dyDescent="0.2">
      <c r="A121" s="3874"/>
      <c r="B121" s="3874"/>
      <c r="C121" s="3874"/>
      <c r="D121" s="3957"/>
      <c r="E121" s="3957"/>
      <c r="F121" s="3957"/>
      <c r="G121" s="3564">
        <v>1905031</v>
      </c>
      <c r="H121" s="2668">
        <v>12.14</v>
      </c>
      <c r="I121" s="2772" t="s">
        <v>1914</v>
      </c>
      <c r="J121" s="2426" t="s">
        <v>1915</v>
      </c>
      <c r="K121" s="3904">
        <v>12</v>
      </c>
      <c r="L121" s="2089"/>
      <c r="M121" s="2602"/>
      <c r="N121" s="3042"/>
      <c r="O121" s="2669">
        <f>SUM(T121:T125)/(P12+P114)</f>
        <v>0.23728813559322035</v>
      </c>
      <c r="P121" s="3593"/>
      <c r="Q121" s="2398"/>
      <c r="R121" s="2878"/>
      <c r="S121" s="2115" t="s">
        <v>1916</v>
      </c>
      <c r="T121" s="3893">
        <v>8000000</v>
      </c>
      <c r="U121" s="3958" t="s">
        <v>1791</v>
      </c>
      <c r="V121" s="3887" t="s">
        <v>1907</v>
      </c>
      <c r="W121" s="2621"/>
      <c r="X121" s="2621"/>
      <c r="Y121" s="2621"/>
      <c r="Z121" s="2621"/>
      <c r="AA121" s="2621"/>
      <c r="AB121" s="2621"/>
      <c r="AC121" s="2621"/>
      <c r="AD121" s="2621"/>
      <c r="AE121" s="2621"/>
      <c r="AF121" s="2621"/>
      <c r="AG121" s="2621"/>
      <c r="AH121" s="2621"/>
      <c r="AI121" s="2621"/>
      <c r="AJ121" s="2621"/>
      <c r="AK121" s="2621"/>
      <c r="AL121" s="2621"/>
      <c r="AM121" s="2621"/>
      <c r="AN121" s="2621"/>
      <c r="AO121" s="2621"/>
      <c r="AP121" s="3030"/>
    </row>
    <row r="122" spans="1:42" s="3908" customFormat="1" ht="95.25" customHeight="1" x14ac:dyDescent="0.2">
      <c r="A122" s="3874"/>
      <c r="B122" s="3874"/>
      <c r="C122" s="3874"/>
      <c r="D122" s="3957"/>
      <c r="E122" s="3957"/>
      <c r="F122" s="3957"/>
      <c r="G122" s="3564"/>
      <c r="H122" s="2668"/>
      <c r="I122" s="2772"/>
      <c r="J122" s="2426"/>
      <c r="K122" s="3904"/>
      <c r="L122" s="2089"/>
      <c r="M122" s="2602"/>
      <c r="N122" s="3042"/>
      <c r="O122" s="2669"/>
      <c r="P122" s="3593"/>
      <c r="Q122" s="2398"/>
      <c r="R122" s="2878"/>
      <c r="S122" s="2115" t="s">
        <v>1917</v>
      </c>
      <c r="T122" s="3893">
        <v>4000000</v>
      </c>
      <c r="U122" s="3958" t="s">
        <v>1791</v>
      </c>
      <c r="V122" s="3887" t="s">
        <v>1907</v>
      </c>
      <c r="W122" s="2621"/>
      <c r="X122" s="2621"/>
      <c r="Y122" s="2621"/>
      <c r="Z122" s="2621"/>
      <c r="AA122" s="2621"/>
      <c r="AB122" s="2621"/>
      <c r="AC122" s="2621"/>
      <c r="AD122" s="2621"/>
      <c r="AE122" s="2621"/>
      <c r="AF122" s="2621"/>
      <c r="AG122" s="2621"/>
      <c r="AH122" s="2621"/>
      <c r="AI122" s="2621"/>
      <c r="AJ122" s="2621"/>
      <c r="AK122" s="2621"/>
      <c r="AL122" s="2621"/>
      <c r="AM122" s="2621"/>
      <c r="AN122" s="2621"/>
      <c r="AO122" s="2621"/>
      <c r="AP122" s="3030"/>
    </row>
    <row r="123" spans="1:42" s="3908" customFormat="1" ht="53.25" customHeight="1" x14ac:dyDescent="0.2">
      <c r="A123" s="3874"/>
      <c r="B123" s="3874"/>
      <c r="C123" s="3874"/>
      <c r="D123" s="3957"/>
      <c r="E123" s="3957"/>
      <c r="F123" s="3957"/>
      <c r="G123" s="3564"/>
      <c r="H123" s="2668"/>
      <c r="I123" s="2772"/>
      <c r="J123" s="2426"/>
      <c r="K123" s="3904"/>
      <c r="L123" s="2089"/>
      <c r="M123" s="2602"/>
      <c r="N123" s="3042"/>
      <c r="O123" s="2669"/>
      <c r="P123" s="3593"/>
      <c r="Q123" s="2398"/>
      <c r="R123" s="2878"/>
      <c r="S123" s="2115" t="s">
        <v>1918</v>
      </c>
      <c r="T123" s="3893">
        <v>4000000</v>
      </c>
      <c r="U123" s="3958" t="s">
        <v>1791</v>
      </c>
      <c r="V123" s="3887" t="s">
        <v>1907</v>
      </c>
      <c r="W123" s="2621"/>
      <c r="X123" s="2621"/>
      <c r="Y123" s="2621"/>
      <c r="Z123" s="2621"/>
      <c r="AA123" s="2621"/>
      <c r="AB123" s="2621"/>
      <c r="AC123" s="2621"/>
      <c r="AD123" s="2621"/>
      <c r="AE123" s="2621"/>
      <c r="AF123" s="2621"/>
      <c r="AG123" s="2621"/>
      <c r="AH123" s="2621"/>
      <c r="AI123" s="2621"/>
      <c r="AJ123" s="2621"/>
      <c r="AK123" s="2621"/>
      <c r="AL123" s="2621"/>
      <c r="AM123" s="2621"/>
      <c r="AN123" s="2621"/>
      <c r="AO123" s="2621"/>
      <c r="AP123" s="3030"/>
    </row>
    <row r="124" spans="1:42" s="3908" customFormat="1" ht="73.5" customHeight="1" x14ac:dyDescent="0.2">
      <c r="A124" s="3874"/>
      <c r="B124" s="3874"/>
      <c r="C124" s="3874"/>
      <c r="D124" s="3957"/>
      <c r="E124" s="3957"/>
      <c r="F124" s="3957"/>
      <c r="G124" s="3564"/>
      <c r="H124" s="2668"/>
      <c r="I124" s="2772"/>
      <c r="J124" s="2426"/>
      <c r="K124" s="3904"/>
      <c r="L124" s="2089"/>
      <c r="M124" s="2602"/>
      <c r="N124" s="3042"/>
      <c r="O124" s="2669"/>
      <c r="P124" s="3593"/>
      <c r="Q124" s="2398"/>
      <c r="R124" s="2878"/>
      <c r="S124" s="2115" t="s">
        <v>1919</v>
      </c>
      <c r="T124" s="3893">
        <v>4000000</v>
      </c>
      <c r="U124" s="3958" t="s">
        <v>1791</v>
      </c>
      <c r="V124" s="3887" t="s">
        <v>1907</v>
      </c>
      <c r="W124" s="2621"/>
      <c r="X124" s="2621"/>
      <c r="Y124" s="2621"/>
      <c r="Z124" s="2621"/>
      <c r="AA124" s="2621"/>
      <c r="AB124" s="2621"/>
      <c r="AC124" s="2621"/>
      <c r="AD124" s="2621"/>
      <c r="AE124" s="2621"/>
      <c r="AF124" s="2621"/>
      <c r="AG124" s="2621"/>
      <c r="AH124" s="2621"/>
      <c r="AI124" s="2621"/>
      <c r="AJ124" s="2621"/>
      <c r="AK124" s="2621"/>
      <c r="AL124" s="2621"/>
      <c r="AM124" s="2621"/>
      <c r="AN124" s="2621"/>
      <c r="AO124" s="2621"/>
      <c r="AP124" s="3030"/>
    </row>
    <row r="125" spans="1:42" s="3908" customFormat="1" ht="78" customHeight="1" x14ac:dyDescent="0.2">
      <c r="A125" s="3874"/>
      <c r="B125" s="3874"/>
      <c r="C125" s="3874"/>
      <c r="D125" s="3957"/>
      <c r="E125" s="3957"/>
      <c r="F125" s="3957"/>
      <c r="G125" s="3564"/>
      <c r="H125" s="2668"/>
      <c r="I125" s="2772"/>
      <c r="J125" s="2426"/>
      <c r="K125" s="3904"/>
      <c r="L125" s="2095"/>
      <c r="M125" s="2603"/>
      <c r="N125" s="3043"/>
      <c r="O125" s="2669"/>
      <c r="P125" s="3593"/>
      <c r="Q125" s="2819"/>
      <c r="R125" s="2879"/>
      <c r="S125" s="2115" t="s">
        <v>1920</v>
      </c>
      <c r="T125" s="3893">
        <v>8000000</v>
      </c>
      <c r="U125" s="3958" t="s">
        <v>1791</v>
      </c>
      <c r="V125" s="3887" t="s">
        <v>1907</v>
      </c>
      <c r="W125" s="3582"/>
      <c r="X125" s="3582"/>
      <c r="Y125" s="3582"/>
      <c r="Z125" s="3582"/>
      <c r="AA125" s="3582"/>
      <c r="AB125" s="3582"/>
      <c r="AC125" s="3582"/>
      <c r="AD125" s="3582"/>
      <c r="AE125" s="3582"/>
      <c r="AF125" s="3582"/>
      <c r="AG125" s="3582"/>
      <c r="AH125" s="3582"/>
      <c r="AI125" s="3582"/>
      <c r="AJ125" s="3582"/>
      <c r="AK125" s="3582"/>
      <c r="AL125" s="3582"/>
      <c r="AM125" s="3582"/>
      <c r="AN125" s="3582"/>
      <c r="AO125" s="3582"/>
      <c r="AP125" s="3031"/>
    </row>
    <row r="126" spans="1:42" s="3908" customFormat="1" ht="57.75" customHeight="1" x14ac:dyDescent="0.2">
      <c r="A126" s="3874"/>
      <c r="B126" s="3874"/>
      <c r="C126" s="3874"/>
      <c r="D126" s="3957"/>
      <c r="E126" s="3957"/>
      <c r="F126" s="3957"/>
      <c r="G126" s="2098">
        <v>1905019</v>
      </c>
      <c r="H126" s="2098">
        <v>12.4</v>
      </c>
      <c r="I126" s="2086" t="s">
        <v>1921</v>
      </c>
      <c r="J126" s="2108" t="s">
        <v>938</v>
      </c>
      <c r="K126" s="3942">
        <v>60</v>
      </c>
      <c r="L126" s="2088"/>
      <c r="M126" s="3101" t="s">
        <v>1922</v>
      </c>
      <c r="N126" s="3017" t="s">
        <v>1923</v>
      </c>
      <c r="O126" s="2138">
        <f>SUM(T126)/P126</f>
        <v>9.6774193548387094E-2</v>
      </c>
      <c r="P126" s="3586">
        <f>SUM(T126:T143)</f>
        <v>155000000</v>
      </c>
      <c r="Q126" s="3608" t="s">
        <v>1924</v>
      </c>
      <c r="R126" s="2982" t="s">
        <v>1925</v>
      </c>
      <c r="S126" s="2085" t="s">
        <v>1926</v>
      </c>
      <c r="T126" s="3893">
        <f>20000000-5000000</f>
        <v>15000000</v>
      </c>
      <c r="U126" s="3958" t="s">
        <v>1791</v>
      </c>
      <c r="V126" s="3894" t="s">
        <v>1907</v>
      </c>
      <c r="W126" s="2601">
        <v>292684</v>
      </c>
      <c r="X126" s="2601">
        <v>282326</v>
      </c>
      <c r="Y126" s="2601">
        <v>135912</v>
      </c>
      <c r="Z126" s="2601">
        <v>45122</v>
      </c>
      <c r="AA126" s="2601">
        <v>307101</v>
      </c>
      <c r="AB126" s="2601">
        <f>SUM(AA126*0.36)</f>
        <v>110556.36</v>
      </c>
      <c r="AC126" s="2601">
        <v>86875</v>
      </c>
      <c r="AD126" s="2601">
        <v>2145</v>
      </c>
      <c r="AE126" s="2601">
        <v>12718</v>
      </c>
      <c r="AF126" s="2601">
        <v>26</v>
      </c>
      <c r="AG126" s="2601">
        <v>37</v>
      </c>
      <c r="AH126" s="2601">
        <v>16897</v>
      </c>
      <c r="AI126" s="2601" t="s">
        <v>1738</v>
      </c>
      <c r="AJ126" s="2601">
        <v>53164</v>
      </c>
      <c r="AK126" s="2601">
        <v>16982</v>
      </c>
      <c r="AL126" s="2601">
        <v>60013</v>
      </c>
      <c r="AM126" s="2601">
        <v>575010</v>
      </c>
      <c r="AN126" s="3494">
        <v>43832</v>
      </c>
      <c r="AO126" s="3494">
        <v>44196</v>
      </c>
      <c r="AP126" s="2397" t="s">
        <v>1739</v>
      </c>
    </row>
    <row r="127" spans="1:42" s="3908" customFormat="1" ht="57.75" customHeight="1" x14ac:dyDescent="0.2">
      <c r="A127" s="3874"/>
      <c r="B127" s="3874"/>
      <c r="C127" s="3874"/>
      <c r="D127" s="3957"/>
      <c r="E127" s="3957"/>
      <c r="F127" s="3957"/>
      <c r="G127" s="2644" t="s">
        <v>52</v>
      </c>
      <c r="H127" s="3420">
        <v>12.16</v>
      </c>
      <c r="I127" s="2772" t="s">
        <v>1927</v>
      </c>
      <c r="J127" s="3959" t="s">
        <v>1928</v>
      </c>
      <c r="K127" s="3904">
        <v>11</v>
      </c>
      <c r="L127" s="2097"/>
      <c r="M127" s="3101"/>
      <c r="N127" s="3017"/>
      <c r="O127" s="3960">
        <f>SUM(T127:T128)/P126</f>
        <v>9.6774193548387094E-2</v>
      </c>
      <c r="P127" s="3586"/>
      <c r="Q127" s="3608"/>
      <c r="R127" s="2347"/>
      <c r="S127" s="2087" t="s">
        <v>1929</v>
      </c>
      <c r="T127" s="3893">
        <f>10000000-5000000</f>
        <v>5000000</v>
      </c>
      <c r="U127" s="3958" t="s">
        <v>1791</v>
      </c>
      <c r="V127" s="3894" t="s">
        <v>1907</v>
      </c>
      <c r="W127" s="2645"/>
      <c r="X127" s="2645"/>
      <c r="Y127" s="2645"/>
      <c r="Z127" s="2645"/>
      <c r="AA127" s="2645"/>
      <c r="AB127" s="2645"/>
      <c r="AC127" s="2645"/>
      <c r="AD127" s="2645"/>
      <c r="AE127" s="2645"/>
      <c r="AF127" s="2645"/>
      <c r="AG127" s="2645"/>
      <c r="AH127" s="2645"/>
      <c r="AI127" s="2645"/>
      <c r="AJ127" s="2645"/>
      <c r="AK127" s="2645"/>
      <c r="AL127" s="2645"/>
      <c r="AM127" s="2645"/>
      <c r="AN127" s="2645"/>
      <c r="AO127" s="2645"/>
      <c r="AP127" s="2847"/>
    </row>
    <row r="128" spans="1:42" s="3908" customFormat="1" ht="57.75" customHeight="1" x14ac:dyDescent="0.2">
      <c r="A128" s="3874"/>
      <c r="B128" s="3874"/>
      <c r="C128" s="3874"/>
      <c r="D128" s="3957"/>
      <c r="E128" s="3957"/>
      <c r="F128" s="3957"/>
      <c r="G128" s="2645"/>
      <c r="H128" s="3421"/>
      <c r="I128" s="2871"/>
      <c r="J128" s="3961"/>
      <c r="K128" s="3904"/>
      <c r="L128" s="2097"/>
      <c r="M128" s="3101"/>
      <c r="N128" s="3017"/>
      <c r="O128" s="3598"/>
      <c r="P128" s="2668"/>
      <c r="Q128" s="3608"/>
      <c r="R128" s="2347"/>
      <c r="S128" s="2099" t="s">
        <v>1930</v>
      </c>
      <c r="T128" s="3893">
        <v>10000000</v>
      </c>
      <c r="U128" s="3958" t="s">
        <v>1791</v>
      </c>
      <c r="V128" s="3936" t="s">
        <v>1907</v>
      </c>
      <c r="W128" s="2645"/>
      <c r="X128" s="2645"/>
      <c r="Y128" s="2645"/>
      <c r="Z128" s="2645"/>
      <c r="AA128" s="2645"/>
      <c r="AB128" s="2645"/>
      <c r="AC128" s="2645"/>
      <c r="AD128" s="2645"/>
      <c r="AE128" s="2645"/>
      <c r="AF128" s="2645"/>
      <c r="AG128" s="2645"/>
      <c r="AH128" s="2645"/>
      <c r="AI128" s="2645"/>
      <c r="AJ128" s="2645"/>
      <c r="AK128" s="2645"/>
      <c r="AL128" s="2645"/>
      <c r="AM128" s="2645"/>
      <c r="AN128" s="2645"/>
      <c r="AO128" s="2645"/>
      <c r="AP128" s="2847"/>
    </row>
    <row r="129" spans="1:42" s="3908" customFormat="1" ht="57.75" customHeight="1" x14ac:dyDescent="0.2">
      <c r="A129" s="3874"/>
      <c r="B129" s="3874"/>
      <c r="C129" s="3874"/>
      <c r="D129" s="3957"/>
      <c r="E129" s="3957"/>
      <c r="F129" s="3957"/>
      <c r="G129" s="3564" t="s">
        <v>52</v>
      </c>
      <c r="H129" s="3595">
        <v>12.2</v>
      </c>
      <c r="I129" s="2772" t="s">
        <v>1931</v>
      </c>
      <c r="J129" s="2426" t="s">
        <v>1932</v>
      </c>
      <c r="K129" s="3904">
        <v>1</v>
      </c>
      <c r="L129" s="2097"/>
      <c r="M129" s="3101"/>
      <c r="N129" s="3017"/>
      <c r="O129" s="3960">
        <f>SUM(T129:T130)/P126</f>
        <v>9.6774193548387094E-2</v>
      </c>
      <c r="P129" s="2668"/>
      <c r="Q129" s="3608"/>
      <c r="R129" s="2347"/>
      <c r="S129" s="2087" t="s">
        <v>1933</v>
      </c>
      <c r="T129" s="3893">
        <f>10000000-5000000</f>
        <v>5000000</v>
      </c>
      <c r="U129" s="3958" t="s">
        <v>1791</v>
      </c>
      <c r="V129" s="3894" t="s">
        <v>1907</v>
      </c>
      <c r="W129" s="2645"/>
      <c r="X129" s="2645"/>
      <c r="Y129" s="2645"/>
      <c r="Z129" s="2645"/>
      <c r="AA129" s="2645"/>
      <c r="AB129" s="2645"/>
      <c r="AC129" s="2645"/>
      <c r="AD129" s="2645"/>
      <c r="AE129" s="2645"/>
      <c r="AF129" s="2645"/>
      <c r="AG129" s="2645"/>
      <c r="AH129" s="2645"/>
      <c r="AI129" s="2645"/>
      <c r="AJ129" s="2645"/>
      <c r="AK129" s="2645"/>
      <c r="AL129" s="2645"/>
      <c r="AM129" s="2645"/>
      <c r="AN129" s="2645"/>
      <c r="AO129" s="2645"/>
      <c r="AP129" s="2847"/>
    </row>
    <row r="130" spans="1:42" s="3908" customFormat="1" ht="57.75" customHeight="1" x14ac:dyDescent="0.2">
      <c r="A130" s="3874"/>
      <c r="B130" s="3874"/>
      <c r="C130" s="3874"/>
      <c r="D130" s="3957"/>
      <c r="E130" s="3957"/>
      <c r="F130" s="3957"/>
      <c r="G130" s="3456"/>
      <c r="H130" s="3596"/>
      <c r="I130" s="2871"/>
      <c r="J130" s="2725"/>
      <c r="K130" s="3904"/>
      <c r="L130" s="2097"/>
      <c r="M130" s="3101"/>
      <c r="N130" s="3017"/>
      <c r="O130" s="3598"/>
      <c r="P130" s="2668"/>
      <c r="Q130" s="3608"/>
      <c r="R130" s="2347"/>
      <c r="S130" s="2099" t="s">
        <v>1934</v>
      </c>
      <c r="T130" s="3893">
        <v>10000000</v>
      </c>
      <c r="U130" s="3958" t="s">
        <v>1791</v>
      </c>
      <c r="V130" s="3936" t="s">
        <v>1907</v>
      </c>
      <c r="W130" s="2645"/>
      <c r="X130" s="2645"/>
      <c r="Y130" s="2645"/>
      <c r="Z130" s="2645"/>
      <c r="AA130" s="2645"/>
      <c r="AB130" s="2645"/>
      <c r="AC130" s="2645"/>
      <c r="AD130" s="2645"/>
      <c r="AE130" s="2645"/>
      <c r="AF130" s="2645"/>
      <c r="AG130" s="2645"/>
      <c r="AH130" s="2645"/>
      <c r="AI130" s="2645"/>
      <c r="AJ130" s="2645"/>
      <c r="AK130" s="2645"/>
      <c r="AL130" s="2645"/>
      <c r="AM130" s="2645"/>
      <c r="AN130" s="2645"/>
      <c r="AO130" s="2645"/>
      <c r="AP130" s="2847"/>
    </row>
    <row r="131" spans="1:42" s="3908" customFormat="1" ht="58.5" customHeight="1" x14ac:dyDescent="0.2">
      <c r="A131" s="3874"/>
      <c r="B131" s="3874"/>
      <c r="C131" s="3874"/>
      <c r="D131" s="3957"/>
      <c r="E131" s="3957"/>
      <c r="F131" s="3957"/>
      <c r="G131" s="3564" t="s">
        <v>52</v>
      </c>
      <c r="H131" s="3564">
        <v>12.17</v>
      </c>
      <c r="I131" s="3962" t="s">
        <v>1935</v>
      </c>
      <c r="J131" s="2874" t="s">
        <v>1936</v>
      </c>
      <c r="K131" s="3904">
        <v>1</v>
      </c>
      <c r="L131" s="2097"/>
      <c r="M131" s="3101"/>
      <c r="N131" s="3017"/>
      <c r="O131" s="3960">
        <f>SUM(T131:T135)/P126</f>
        <v>0.32258064516129031</v>
      </c>
      <c r="P131" s="2668"/>
      <c r="Q131" s="3608"/>
      <c r="R131" s="2347"/>
      <c r="S131" s="2087" t="s">
        <v>1937</v>
      </c>
      <c r="T131" s="3893">
        <v>5000000</v>
      </c>
      <c r="U131" s="3958" t="s">
        <v>1791</v>
      </c>
      <c r="V131" s="3894" t="s">
        <v>1907</v>
      </c>
      <c r="W131" s="2645"/>
      <c r="X131" s="2645"/>
      <c r="Y131" s="2645"/>
      <c r="Z131" s="2645"/>
      <c r="AA131" s="2645"/>
      <c r="AB131" s="2645"/>
      <c r="AC131" s="2645"/>
      <c r="AD131" s="2645"/>
      <c r="AE131" s="2645"/>
      <c r="AF131" s="2645"/>
      <c r="AG131" s="2645"/>
      <c r="AH131" s="2645"/>
      <c r="AI131" s="2645"/>
      <c r="AJ131" s="2645"/>
      <c r="AK131" s="2645"/>
      <c r="AL131" s="2645"/>
      <c r="AM131" s="2645"/>
      <c r="AN131" s="2645"/>
      <c r="AO131" s="2645"/>
      <c r="AP131" s="2847"/>
    </row>
    <row r="132" spans="1:42" s="3908" customFormat="1" ht="44.25" customHeight="1" x14ac:dyDescent="0.2">
      <c r="A132" s="3874"/>
      <c r="B132" s="3874"/>
      <c r="C132" s="3874"/>
      <c r="D132" s="3957"/>
      <c r="E132" s="3957"/>
      <c r="F132" s="3957"/>
      <c r="G132" s="3564"/>
      <c r="H132" s="3564"/>
      <c r="I132" s="3962"/>
      <c r="J132" s="2874"/>
      <c r="K132" s="3904"/>
      <c r="L132" s="2097"/>
      <c r="M132" s="3101"/>
      <c r="N132" s="3017"/>
      <c r="O132" s="3597"/>
      <c r="P132" s="2668"/>
      <c r="Q132" s="3608"/>
      <c r="R132" s="2347"/>
      <c r="S132" s="2087" t="s">
        <v>1938</v>
      </c>
      <c r="T132" s="3893">
        <v>5000000</v>
      </c>
      <c r="U132" s="3958" t="s">
        <v>1791</v>
      </c>
      <c r="V132" s="3894" t="s">
        <v>1907</v>
      </c>
      <c r="W132" s="2645"/>
      <c r="X132" s="2645"/>
      <c r="Y132" s="2645"/>
      <c r="Z132" s="2645"/>
      <c r="AA132" s="2645"/>
      <c r="AB132" s="2645"/>
      <c r="AC132" s="2645"/>
      <c r="AD132" s="2645"/>
      <c r="AE132" s="2645"/>
      <c r="AF132" s="2645"/>
      <c r="AG132" s="2645"/>
      <c r="AH132" s="2645"/>
      <c r="AI132" s="2645"/>
      <c r="AJ132" s="2645"/>
      <c r="AK132" s="2645"/>
      <c r="AL132" s="2645"/>
      <c r="AM132" s="2645"/>
      <c r="AN132" s="2645"/>
      <c r="AO132" s="2645"/>
      <c r="AP132" s="2847"/>
    </row>
    <row r="133" spans="1:42" s="3908" customFormat="1" ht="66" customHeight="1" x14ac:dyDescent="0.2">
      <c r="A133" s="3874"/>
      <c r="B133" s="3874"/>
      <c r="C133" s="3874"/>
      <c r="D133" s="3957"/>
      <c r="E133" s="3957"/>
      <c r="F133" s="3957"/>
      <c r="G133" s="3564"/>
      <c r="H133" s="3564"/>
      <c r="I133" s="3962"/>
      <c r="J133" s="2874"/>
      <c r="K133" s="3904"/>
      <c r="L133" s="2097"/>
      <c r="M133" s="3101"/>
      <c r="N133" s="3017"/>
      <c r="O133" s="3597"/>
      <c r="P133" s="2668"/>
      <c r="Q133" s="3608"/>
      <c r="R133" s="2347"/>
      <c r="S133" s="2087" t="s">
        <v>1778</v>
      </c>
      <c r="T133" s="3893">
        <f>1200000+28800000-10000000</f>
        <v>20000000</v>
      </c>
      <c r="U133" s="3958" t="s">
        <v>1791</v>
      </c>
      <c r="V133" s="3894" t="s">
        <v>1907</v>
      </c>
      <c r="W133" s="2645"/>
      <c r="X133" s="2645"/>
      <c r="Y133" s="2645"/>
      <c r="Z133" s="2645"/>
      <c r="AA133" s="2645"/>
      <c r="AB133" s="2645"/>
      <c r="AC133" s="2645"/>
      <c r="AD133" s="2645"/>
      <c r="AE133" s="2645"/>
      <c r="AF133" s="2645"/>
      <c r="AG133" s="2645"/>
      <c r="AH133" s="2645"/>
      <c r="AI133" s="2645"/>
      <c r="AJ133" s="2645"/>
      <c r="AK133" s="2645"/>
      <c r="AL133" s="2645"/>
      <c r="AM133" s="2645"/>
      <c r="AN133" s="2645"/>
      <c r="AO133" s="2645"/>
      <c r="AP133" s="2847"/>
    </row>
    <row r="134" spans="1:42" s="3908" customFormat="1" ht="71.25" customHeight="1" x14ac:dyDescent="0.2">
      <c r="A134" s="3874"/>
      <c r="B134" s="3874"/>
      <c r="C134" s="3874"/>
      <c r="D134" s="3957"/>
      <c r="E134" s="3957"/>
      <c r="F134" s="3957"/>
      <c r="G134" s="3564"/>
      <c r="H134" s="3564"/>
      <c r="I134" s="3962"/>
      <c r="J134" s="2874"/>
      <c r="K134" s="3904"/>
      <c r="L134" s="2097" t="s">
        <v>2409</v>
      </c>
      <c r="M134" s="3101"/>
      <c r="N134" s="3017"/>
      <c r="O134" s="3597"/>
      <c r="P134" s="2668"/>
      <c r="Q134" s="3608"/>
      <c r="R134" s="2347"/>
      <c r="S134" s="2087" t="s">
        <v>1939</v>
      </c>
      <c r="T134" s="3893">
        <f>5000000+10000000-5000000</f>
        <v>10000000</v>
      </c>
      <c r="U134" s="3958" t="s">
        <v>1791</v>
      </c>
      <c r="V134" s="3894" t="s">
        <v>1907</v>
      </c>
      <c r="W134" s="2645"/>
      <c r="X134" s="2645"/>
      <c r="Y134" s="2645"/>
      <c r="Z134" s="2645"/>
      <c r="AA134" s="2645"/>
      <c r="AB134" s="2645"/>
      <c r="AC134" s="2645"/>
      <c r="AD134" s="2645"/>
      <c r="AE134" s="2645"/>
      <c r="AF134" s="2645"/>
      <c r="AG134" s="2645"/>
      <c r="AH134" s="2645"/>
      <c r="AI134" s="2645"/>
      <c r="AJ134" s="2645"/>
      <c r="AK134" s="2645"/>
      <c r="AL134" s="2645"/>
      <c r="AM134" s="2645"/>
      <c r="AN134" s="2645"/>
      <c r="AO134" s="2645"/>
      <c r="AP134" s="2847"/>
    </row>
    <row r="135" spans="1:42" s="3908" customFormat="1" ht="79.5" customHeight="1" x14ac:dyDescent="0.2">
      <c r="A135" s="3874"/>
      <c r="B135" s="3874"/>
      <c r="C135" s="3874"/>
      <c r="D135" s="3957"/>
      <c r="E135" s="3957"/>
      <c r="F135" s="3957"/>
      <c r="G135" s="3564"/>
      <c r="H135" s="3564"/>
      <c r="I135" s="3963"/>
      <c r="J135" s="2874"/>
      <c r="K135" s="3904"/>
      <c r="L135" s="2097" t="s">
        <v>2410</v>
      </c>
      <c r="M135" s="3101"/>
      <c r="N135" s="3017"/>
      <c r="O135" s="3598"/>
      <c r="P135" s="2668"/>
      <c r="Q135" s="3608"/>
      <c r="R135" s="2347"/>
      <c r="S135" s="2099" t="s">
        <v>1940</v>
      </c>
      <c r="T135" s="3896">
        <f>5000000+10000000-5000000</f>
        <v>10000000</v>
      </c>
      <c r="U135" s="3958" t="s">
        <v>1791</v>
      </c>
      <c r="V135" s="3936" t="s">
        <v>1907</v>
      </c>
      <c r="W135" s="2645"/>
      <c r="X135" s="2645"/>
      <c r="Y135" s="2645"/>
      <c r="Z135" s="2645"/>
      <c r="AA135" s="2645"/>
      <c r="AB135" s="2645"/>
      <c r="AC135" s="2645"/>
      <c r="AD135" s="2645"/>
      <c r="AE135" s="2645"/>
      <c r="AF135" s="2645"/>
      <c r="AG135" s="2645"/>
      <c r="AH135" s="2645"/>
      <c r="AI135" s="2645"/>
      <c r="AJ135" s="2645"/>
      <c r="AK135" s="2645"/>
      <c r="AL135" s="2645"/>
      <c r="AM135" s="2645"/>
      <c r="AN135" s="2645"/>
      <c r="AO135" s="2645"/>
      <c r="AP135" s="2847"/>
    </row>
    <row r="136" spans="1:42" s="3908" customFormat="1" ht="44.25" customHeight="1" x14ac:dyDescent="0.2">
      <c r="A136" s="3874"/>
      <c r="B136" s="3874"/>
      <c r="C136" s="3874"/>
      <c r="D136" s="3957"/>
      <c r="E136" s="3957"/>
      <c r="F136" s="3957"/>
      <c r="G136" s="3457" t="s">
        <v>52</v>
      </c>
      <c r="H136" s="3569">
        <v>12.19</v>
      </c>
      <c r="I136" s="2772" t="s">
        <v>1941</v>
      </c>
      <c r="J136" s="3708" t="s">
        <v>1942</v>
      </c>
      <c r="K136" s="3904">
        <v>2</v>
      </c>
      <c r="L136" s="2097"/>
      <c r="M136" s="3101"/>
      <c r="N136" s="3017"/>
      <c r="O136" s="3960">
        <f>SUM(T136:T138)/P126</f>
        <v>0.12903225806451613</v>
      </c>
      <c r="P136" s="2668"/>
      <c r="Q136" s="3608"/>
      <c r="R136" s="2347"/>
      <c r="S136" s="2087" t="s">
        <v>1943</v>
      </c>
      <c r="T136" s="3893">
        <v>10000000</v>
      </c>
      <c r="U136" s="3958" t="s">
        <v>1791</v>
      </c>
      <c r="V136" s="3894" t="s">
        <v>1907</v>
      </c>
      <c r="W136" s="2645"/>
      <c r="X136" s="2645"/>
      <c r="Y136" s="2645"/>
      <c r="Z136" s="2645"/>
      <c r="AA136" s="2645"/>
      <c r="AB136" s="2645"/>
      <c r="AC136" s="2645"/>
      <c r="AD136" s="2645"/>
      <c r="AE136" s="2645"/>
      <c r="AF136" s="2645"/>
      <c r="AG136" s="2645"/>
      <c r="AH136" s="2645"/>
      <c r="AI136" s="2645"/>
      <c r="AJ136" s="2645"/>
      <c r="AK136" s="2645"/>
      <c r="AL136" s="2645"/>
      <c r="AM136" s="2645"/>
      <c r="AN136" s="2645"/>
      <c r="AO136" s="2645"/>
      <c r="AP136" s="2847"/>
    </row>
    <row r="137" spans="1:42" s="3908" customFormat="1" ht="44.25" customHeight="1" x14ac:dyDescent="0.2">
      <c r="A137" s="3874"/>
      <c r="B137" s="3874"/>
      <c r="C137" s="3874"/>
      <c r="D137" s="3957"/>
      <c r="E137" s="3957"/>
      <c r="F137" s="3957"/>
      <c r="G137" s="3564"/>
      <c r="H137" s="3387"/>
      <c r="I137" s="2772"/>
      <c r="J137" s="3962"/>
      <c r="K137" s="3904"/>
      <c r="L137" s="2097"/>
      <c r="M137" s="3101"/>
      <c r="N137" s="3017"/>
      <c r="O137" s="3597"/>
      <c r="P137" s="2668"/>
      <c r="Q137" s="3608"/>
      <c r="R137" s="2347"/>
      <c r="S137" s="2087" t="s">
        <v>1944</v>
      </c>
      <c r="T137" s="3893">
        <v>5000000</v>
      </c>
      <c r="U137" s="3958" t="s">
        <v>1791</v>
      </c>
      <c r="V137" s="3894" t="s">
        <v>1907</v>
      </c>
      <c r="W137" s="2645"/>
      <c r="X137" s="2645"/>
      <c r="Y137" s="2645"/>
      <c r="Z137" s="2645"/>
      <c r="AA137" s="2645"/>
      <c r="AB137" s="2645"/>
      <c r="AC137" s="2645"/>
      <c r="AD137" s="2645"/>
      <c r="AE137" s="2645"/>
      <c r="AF137" s="2645"/>
      <c r="AG137" s="2645"/>
      <c r="AH137" s="2645"/>
      <c r="AI137" s="2645"/>
      <c r="AJ137" s="2645"/>
      <c r="AK137" s="2645"/>
      <c r="AL137" s="2645"/>
      <c r="AM137" s="2645"/>
      <c r="AN137" s="2645"/>
      <c r="AO137" s="2645"/>
      <c r="AP137" s="2847"/>
    </row>
    <row r="138" spans="1:42" s="3908" customFormat="1" ht="44.25" customHeight="1" x14ac:dyDescent="0.2">
      <c r="A138" s="3874"/>
      <c r="B138" s="3874"/>
      <c r="C138" s="3874"/>
      <c r="D138" s="3957"/>
      <c r="E138" s="3957"/>
      <c r="F138" s="3957"/>
      <c r="G138" s="3564"/>
      <c r="H138" s="3387"/>
      <c r="I138" s="2772"/>
      <c r="J138" s="3962"/>
      <c r="K138" s="3904"/>
      <c r="L138" s="2097"/>
      <c r="M138" s="3101"/>
      <c r="N138" s="3017"/>
      <c r="O138" s="3598"/>
      <c r="P138" s="2668"/>
      <c r="Q138" s="3608"/>
      <c r="R138" s="2347"/>
      <c r="S138" s="2087" t="s">
        <v>1945</v>
      </c>
      <c r="T138" s="3893">
        <v>5000000</v>
      </c>
      <c r="U138" s="3958" t="s">
        <v>1791</v>
      </c>
      <c r="V138" s="3936" t="s">
        <v>1907</v>
      </c>
      <c r="W138" s="2645"/>
      <c r="X138" s="2645"/>
      <c r="Y138" s="2645"/>
      <c r="Z138" s="2645"/>
      <c r="AA138" s="2645"/>
      <c r="AB138" s="2645"/>
      <c r="AC138" s="2645"/>
      <c r="AD138" s="2645"/>
      <c r="AE138" s="2645"/>
      <c r="AF138" s="2645"/>
      <c r="AG138" s="2645"/>
      <c r="AH138" s="2645"/>
      <c r="AI138" s="2645"/>
      <c r="AJ138" s="2645"/>
      <c r="AK138" s="2645"/>
      <c r="AL138" s="2645"/>
      <c r="AM138" s="2645"/>
      <c r="AN138" s="2645"/>
      <c r="AO138" s="2645"/>
      <c r="AP138" s="2847"/>
    </row>
    <row r="139" spans="1:42" s="3908" customFormat="1" ht="90" customHeight="1" x14ac:dyDescent="0.2">
      <c r="A139" s="3874"/>
      <c r="B139" s="3874"/>
      <c r="C139" s="3874"/>
      <c r="D139" s="3957"/>
      <c r="E139" s="3957"/>
      <c r="F139" s="3957"/>
      <c r="G139" s="3401" t="s">
        <v>52</v>
      </c>
      <c r="H139" s="3224">
        <v>12.18</v>
      </c>
      <c r="I139" s="2398" t="s">
        <v>1946</v>
      </c>
      <c r="J139" s="2398" t="s">
        <v>1947</v>
      </c>
      <c r="K139" s="3904">
        <v>12</v>
      </c>
      <c r="L139" s="2089"/>
      <c r="M139" s="3101"/>
      <c r="N139" s="3017"/>
      <c r="O139" s="3960">
        <f>SUM(T139:T141)/P126</f>
        <v>0.12903225806451613</v>
      </c>
      <c r="P139" s="2668"/>
      <c r="Q139" s="3608"/>
      <c r="R139" s="2878"/>
      <c r="S139" s="2108" t="s">
        <v>1948</v>
      </c>
      <c r="T139" s="3893">
        <f>10000000-5000000</f>
        <v>5000000</v>
      </c>
      <c r="U139" s="3958" t="s">
        <v>1791</v>
      </c>
      <c r="V139" s="3894" t="s">
        <v>1907</v>
      </c>
      <c r="W139" s="2645"/>
      <c r="X139" s="2645"/>
      <c r="Y139" s="2645"/>
      <c r="Z139" s="2645"/>
      <c r="AA139" s="2645"/>
      <c r="AB139" s="2645"/>
      <c r="AC139" s="2645"/>
      <c r="AD139" s="2645"/>
      <c r="AE139" s="2645"/>
      <c r="AF139" s="2645"/>
      <c r="AG139" s="2645"/>
      <c r="AH139" s="2645"/>
      <c r="AI139" s="2645"/>
      <c r="AJ139" s="2645"/>
      <c r="AK139" s="2645"/>
      <c r="AL139" s="2645"/>
      <c r="AM139" s="2645"/>
      <c r="AN139" s="2645"/>
      <c r="AO139" s="2645"/>
      <c r="AP139" s="2847"/>
    </row>
    <row r="140" spans="1:42" s="3908" customFormat="1" ht="90" customHeight="1" x14ac:dyDescent="0.2">
      <c r="A140" s="3874"/>
      <c r="B140" s="3874"/>
      <c r="C140" s="3874"/>
      <c r="D140" s="3957"/>
      <c r="E140" s="3957"/>
      <c r="F140" s="3957"/>
      <c r="G140" s="2645"/>
      <c r="H140" s="2602"/>
      <c r="I140" s="2398"/>
      <c r="J140" s="2398"/>
      <c r="K140" s="3904"/>
      <c r="L140" s="2089"/>
      <c r="M140" s="3101"/>
      <c r="N140" s="3017"/>
      <c r="O140" s="3597"/>
      <c r="P140" s="2668"/>
      <c r="Q140" s="3608"/>
      <c r="R140" s="2878"/>
      <c r="S140" s="2108" t="s">
        <v>1949</v>
      </c>
      <c r="T140" s="3893">
        <f>10000000-5000000</f>
        <v>5000000</v>
      </c>
      <c r="U140" s="3958" t="s">
        <v>1791</v>
      </c>
      <c r="V140" s="3894" t="s">
        <v>1907</v>
      </c>
      <c r="W140" s="2645"/>
      <c r="X140" s="2645"/>
      <c r="Y140" s="2645"/>
      <c r="Z140" s="2645"/>
      <c r="AA140" s="2645"/>
      <c r="AB140" s="2645"/>
      <c r="AC140" s="2645"/>
      <c r="AD140" s="2645"/>
      <c r="AE140" s="2645"/>
      <c r="AF140" s="2645"/>
      <c r="AG140" s="2645"/>
      <c r="AH140" s="2645"/>
      <c r="AI140" s="2645"/>
      <c r="AJ140" s="2645"/>
      <c r="AK140" s="2645"/>
      <c r="AL140" s="2645"/>
      <c r="AM140" s="2645"/>
      <c r="AN140" s="2645"/>
      <c r="AO140" s="2645"/>
      <c r="AP140" s="2847"/>
    </row>
    <row r="141" spans="1:42" s="3908" customFormat="1" ht="69.75" customHeight="1" x14ac:dyDescent="0.2">
      <c r="A141" s="3874"/>
      <c r="B141" s="3874"/>
      <c r="C141" s="3874"/>
      <c r="D141" s="3957"/>
      <c r="E141" s="3957"/>
      <c r="F141" s="3957"/>
      <c r="G141" s="2646"/>
      <c r="H141" s="2603"/>
      <c r="I141" s="2819"/>
      <c r="J141" s="2819"/>
      <c r="K141" s="3904"/>
      <c r="L141" s="2089"/>
      <c r="M141" s="3101"/>
      <c r="N141" s="3017"/>
      <c r="O141" s="3598"/>
      <c r="P141" s="2668"/>
      <c r="Q141" s="3608"/>
      <c r="R141" s="2878"/>
      <c r="S141" s="2108" t="s">
        <v>1950</v>
      </c>
      <c r="T141" s="3893">
        <v>10000000</v>
      </c>
      <c r="U141" s="3958" t="s">
        <v>1791</v>
      </c>
      <c r="V141" s="3936" t="s">
        <v>1907</v>
      </c>
      <c r="W141" s="2645"/>
      <c r="X141" s="2645"/>
      <c r="Y141" s="2645"/>
      <c r="Z141" s="2645"/>
      <c r="AA141" s="2645"/>
      <c r="AB141" s="2645"/>
      <c r="AC141" s="2645"/>
      <c r="AD141" s="2645"/>
      <c r="AE141" s="2645"/>
      <c r="AF141" s="2645"/>
      <c r="AG141" s="2645"/>
      <c r="AH141" s="2645"/>
      <c r="AI141" s="2645"/>
      <c r="AJ141" s="2645"/>
      <c r="AK141" s="2645"/>
      <c r="AL141" s="2645"/>
      <c r="AM141" s="2645"/>
      <c r="AN141" s="2645"/>
      <c r="AO141" s="2645"/>
      <c r="AP141" s="2847"/>
    </row>
    <row r="142" spans="1:42" s="3908" customFormat="1" ht="42.75" customHeight="1" x14ac:dyDescent="0.2">
      <c r="A142" s="3874"/>
      <c r="B142" s="3874"/>
      <c r="C142" s="3874"/>
      <c r="D142" s="3957"/>
      <c r="E142" s="3957"/>
      <c r="F142" s="3957"/>
      <c r="G142" s="2644" t="s">
        <v>52</v>
      </c>
      <c r="H142" s="2601">
        <v>12.21</v>
      </c>
      <c r="I142" s="2397" t="s">
        <v>1951</v>
      </c>
      <c r="J142" s="2397" t="s">
        <v>623</v>
      </c>
      <c r="K142" s="3904">
        <v>2</v>
      </c>
      <c r="L142" s="2089"/>
      <c r="M142" s="3101"/>
      <c r="N142" s="3017"/>
      <c r="O142" s="3960">
        <f>SUM(T142:T143)/P126</f>
        <v>0.12903225806451613</v>
      </c>
      <c r="P142" s="2668"/>
      <c r="Q142" s="3608"/>
      <c r="R142" s="2878"/>
      <c r="S142" s="2114" t="s">
        <v>1952</v>
      </c>
      <c r="T142" s="3893">
        <f>15000000-5000000</f>
        <v>10000000</v>
      </c>
      <c r="U142" s="3958" t="s">
        <v>1791</v>
      </c>
      <c r="V142" s="3964" t="s">
        <v>1907</v>
      </c>
      <c r="W142" s="2645"/>
      <c r="X142" s="2645"/>
      <c r="Y142" s="2645"/>
      <c r="Z142" s="2645"/>
      <c r="AA142" s="2645"/>
      <c r="AB142" s="2645"/>
      <c r="AC142" s="2645"/>
      <c r="AD142" s="2645"/>
      <c r="AE142" s="2645"/>
      <c r="AF142" s="2645"/>
      <c r="AG142" s="2645"/>
      <c r="AH142" s="2645"/>
      <c r="AI142" s="2645"/>
      <c r="AJ142" s="2645"/>
      <c r="AK142" s="2645"/>
      <c r="AL142" s="2645"/>
      <c r="AM142" s="2645"/>
      <c r="AN142" s="2645"/>
      <c r="AO142" s="2645"/>
      <c r="AP142" s="2847"/>
    </row>
    <row r="143" spans="1:42" s="3908" customFormat="1" ht="42.75" customHeight="1" x14ac:dyDescent="0.2">
      <c r="A143" s="3874"/>
      <c r="B143" s="3874"/>
      <c r="C143" s="3874"/>
      <c r="D143" s="3957"/>
      <c r="E143" s="3957"/>
      <c r="F143" s="3957"/>
      <c r="G143" s="2645"/>
      <c r="H143" s="2602"/>
      <c r="I143" s="2398"/>
      <c r="J143" s="2398"/>
      <c r="K143" s="3904"/>
      <c r="L143" s="2089"/>
      <c r="M143" s="2601"/>
      <c r="N143" s="2397"/>
      <c r="O143" s="3597"/>
      <c r="P143" s="2735"/>
      <c r="Q143" s="3608"/>
      <c r="R143" s="2879"/>
      <c r="S143" s="2115" t="s">
        <v>1953</v>
      </c>
      <c r="T143" s="3893">
        <f>15000000-5000000</f>
        <v>10000000</v>
      </c>
      <c r="U143" s="3958" t="s">
        <v>1791</v>
      </c>
      <c r="V143" s="3964" t="s">
        <v>1907</v>
      </c>
      <c r="W143" s="2646"/>
      <c r="X143" s="2603"/>
      <c r="Y143" s="2603"/>
      <c r="Z143" s="2603"/>
      <c r="AA143" s="2603"/>
      <c r="AB143" s="2603"/>
      <c r="AC143" s="2603"/>
      <c r="AD143" s="2603"/>
      <c r="AE143" s="2603"/>
      <c r="AF143" s="2603"/>
      <c r="AG143" s="2603"/>
      <c r="AH143" s="2603"/>
      <c r="AI143" s="2603"/>
      <c r="AJ143" s="2603"/>
      <c r="AK143" s="2603"/>
      <c r="AL143" s="2603"/>
      <c r="AM143" s="2603"/>
      <c r="AN143" s="2603"/>
      <c r="AO143" s="2603"/>
      <c r="AP143" s="2819"/>
    </row>
    <row r="144" spans="1:42" s="3908" customFormat="1" ht="65.25" customHeight="1" x14ac:dyDescent="0.2">
      <c r="A144" s="3874"/>
      <c r="B144" s="3874"/>
      <c r="C144" s="3874"/>
      <c r="D144" s="3957"/>
      <c r="E144" s="3957"/>
      <c r="F144" s="3957"/>
      <c r="G144" s="3456">
        <v>1905021</v>
      </c>
      <c r="H144" s="2735">
        <v>12.6</v>
      </c>
      <c r="I144" s="2871" t="s">
        <v>644</v>
      </c>
      <c r="J144" s="2725" t="s">
        <v>645</v>
      </c>
      <c r="K144" s="3904">
        <v>12</v>
      </c>
      <c r="L144" s="3599" t="s">
        <v>1954</v>
      </c>
      <c r="M144" s="2668" t="s">
        <v>1955</v>
      </c>
      <c r="N144" s="3963" t="s">
        <v>1956</v>
      </c>
      <c r="O144" s="2669">
        <f>SUM(T144:T156)/P144</f>
        <v>0.5423728813559322</v>
      </c>
      <c r="P144" s="3586">
        <f>SUM(T144:T166)</f>
        <v>118000000</v>
      </c>
      <c r="Q144" s="3029" t="s">
        <v>1957</v>
      </c>
      <c r="R144" s="2982" t="s">
        <v>1958</v>
      </c>
      <c r="S144" s="2115" t="s">
        <v>1959</v>
      </c>
      <c r="T144" s="3893">
        <v>5000000</v>
      </c>
      <c r="U144" s="3958" t="s">
        <v>1791</v>
      </c>
      <c r="V144" s="3897" t="s">
        <v>1907</v>
      </c>
      <c r="W144" s="2620">
        <v>289394</v>
      </c>
      <c r="X144" s="2620">
        <v>279112</v>
      </c>
      <c r="Y144" s="2620">
        <v>63164</v>
      </c>
      <c r="Z144" s="2620">
        <v>45607</v>
      </c>
      <c r="AA144" s="2620">
        <v>365607</v>
      </c>
      <c r="AB144" s="2620">
        <f>AA144*0.24</f>
        <v>87745.68</v>
      </c>
      <c r="AC144" s="2620">
        <v>75612</v>
      </c>
      <c r="AD144" s="2620">
        <v>2145</v>
      </c>
      <c r="AE144" s="2620">
        <v>12718</v>
      </c>
      <c r="AF144" s="2620">
        <v>26</v>
      </c>
      <c r="AG144" s="2620">
        <v>37</v>
      </c>
      <c r="AH144" s="2620">
        <v>0</v>
      </c>
      <c r="AI144" s="2620">
        <v>0</v>
      </c>
      <c r="AJ144" s="2620">
        <v>78</v>
      </c>
      <c r="AK144" s="2620">
        <v>16897</v>
      </c>
      <c r="AL144" s="2620">
        <v>852</v>
      </c>
      <c r="AM144" s="2620">
        <v>568506</v>
      </c>
      <c r="AN144" s="3934">
        <v>43832</v>
      </c>
      <c r="AO144" s="3934">
        <v>44196</v>
      </c>
      <c r="AP144" s="3029" t="s">
        <v>1739</v>
      </c>
    </row>
    <row r="145" spans="1:42" s="3908" customFormat="1" ht="65.25" customHeight="1" x14ac:dyDescent="0.2">
      <c r="A145" s="3874"/>
      <c r="B145" s="3874"/>
      <c r="C145" s="3874"/>
      <c r="D145" s="3957"/>
      <c r="E145" s="3957"/>
      <c r="F145" s="3957"/>
      <c r="G145" s="3350"/>
      <c r="H145" s="3352"/>
      <c r="I145" s="3476"/>
      <c r="J145" s="3706"/>
      <c r="K145" s="3904"/>
      <c r="L145" s="3600"/>
      <c r="M145" s="2668"/>
      <c r="N145" s="3961"/>
      <c r="O145" s="2669"/>
      <c r="P145" s="3586"/>
      <c r="Q145" s="3030"/>
      <c r="R145" s="2878"/>
      <c r="S145" s="2115" t="s">
        <v>1960</v>
      </c>
      <c r="T145" s="3893">
        <v>5000000</v>
      </c>
      <c r="U145" s="3958" t="s">
        <v>1791</v>
      </c>
      <c r="V145" s="3894" t="s">
        <v>1907</v>
      </c>
      <c r="W145" s="2621"/>
      <c r="X145" s="2621"/>
      <c r="Y145" s="2621"/>
      <c r="Z145" s="2621"/>
      <c r="AA145" s="2621"/>
      <c r="AB145" s="2621"/>
      <c r="AC145" s="2621"/>
      <c r="AD145" s="2621"/>
      <c r="AE145" s="2621"/>
      <c r="AF145" s="2621"/>
      <c r="AG145" s="2621"/>
      <c r="AH145" s="2621"/>
      <c r="AI145" s="2621"/>
      <c r="AJ145" s="2621"/>
      <c r="AK145" s="2621"/>
      <c r="AL145" s="2621"/>
      <c r="AM145" s="2621"/>
      <c r="AN145" s="2621"/>
      <c r="AO145" s="2621"/>
      <c r="AP145" s="3030"/>
    </row>
    <row r="146" spans="1:42" s="3908" customFormat="1" ht="65.25" customHeight="1" x14ac:dyDescent="0.2">
      <c r="A146" s="3874"/>
      <c r="B146" s="3874"/>
      <c r="C146" s="3874"/>
      <c r="D146" s="3957"/>
      <c r="E146" s="3957"/>
      <c r="F146" s="3957"/>
      <c r="G146" s="3350"/>
      <c r="H146" s="3352"/>
      <c r="I146" s="3476"/>
      <c r="J146" s="3706"/>
      <c r="K146" s="3904"/>
      <c r="L146" s="3600"/>
      <c r="M146" s="2668"/>
      <c r="N146" s="3961"/>
      <c r="O146" s="2669"/>
      <c r="P146" s="3586"/>
      <c r="Q146" s="3030"/>
      <c r="R146" s="2878"/>
      <c r="S146" s="2115" t="s">
        <v>1961</v>
      </c>
      <c r="T146" s="3893">
        <f>6000000</f>
        <v>6000000</v>
      </c>
      <c r="U146" s="3958" t="s">
        <v>1791</v>
      </c>
      <c r="V146" s="3894" t="s">
        <v>1907</v>
      </c>
      <c r="W146" s="2621"/>
      <c r="X146" s="2621"/>
      <c r="Y146" s="2621"/>
      <c r="Z146" s="2621"/>
      <c r="AA146" s="2621"/>
      <c r="AB146" s="2621"/>
      <c r="AC146" s="2621"/>
      <c r="AD146" s="2621"/>
      <c r="AE146" s="2621"/>
      <c r="AF146" s="2621"/>
      <c r="AG146" s="2621"/>
      <c r="AH146" s="2621"/>
      <c r="AI146" s="2621"/>
      <c r="AJ146" s="2621"/>
      <c r="AK146" s="2621"/>
      <c r="AL146" s="2621"/>
      <c r="AM146" s="2621"/>
      <c r="AN146" s="2621"/>
      <c r="AO146" s="2621"/>
      <c r="AP146" s="3030"/>
    </row>
    <row r="147" spans="1:42" s="3908" customFormat="1" ht="65.25" customHeight="1" x14ac:dyDescent="0.2">
      <c r="A147" s="3874"/>
      <c r="B147" s="3874"/>
      <c r="C147" s="3874"/>
      <c r="D147" s="3957"/>
      <c r="E147" s="3957"/>
      <c r="F147" s="3957"/>
      <c r="G147" s="3350"/>
      <c r="H147" s="3352"/>
      <c r="I147" s="3476"/>
      <c r="J147" s="3706"/>
      <c r="K147" s="3904"/>
      <c r="L147" s="3600"/>
      <c r="M147" s="2668"/>
      <c r="N147" s="3961"/>
      <c r="O147" s="2669"/>
      <c r="P147" s="3586"/>
      <c r="Q147" s="3030"/>
      <c r="R147" s="2878"/>
      <c r="S147" s="2085" t="s">
        <v>1962</v>
      </c>
      <c r="T147" s="3893">
        <f>6000000-2000000</f>
        <v>4000000</v>
      </c>
      <c r="U147" s="3958" t="s">
        <v>1791</v>
      </c>
      <c r="V147" s="3894" t="s">
        <v>1907</v>
      </c>
      <c r="W147" s="2621"/>
      <c r="X147" s="2621"/>
      <c r="Y147" s="2621"/>
      <c r="Z147" s="2621"/>
      <c r="AA147" s="2621"/>
      <c r="AB147" s="2621"/>
      <c r="AC147" s="2621"/>
      <c r="AD147" s="2621"/>
      <c r="AE147" s="2621"/>
      <c r="AF147" s="2621"/>
      <c r="AG147" s="2621"/>
      <c r="AH147" s="2621"/>
      <c r="AI147" s="2621"/>
      <c r="AJ147" s="2621"/>
      <c r="AK147" s="2621"/>
      <c r="AL147" s="2621"/>
      <c r="AM147" s="2621"/>
      <c r="AN147" s="2621"/>
      <c r="AO147" s="2621"/>
      <c r="AP147" s="3030"/>
    </row>
    <row r="148" spans="1:42" s="3908" customFormat="1" ht="65.25" customHeight="1" x14ac:dyDescent="0.2">
      <c r="A148" s="3874"/>
      <c r="B148" s="3874"/>
      <c r="C148" s="3874"/>
      <c r="D148" s="3957"/>
      <c r="E148" s="3957"/>
      <c r="F148" s="3957"/>
      <c r="G148" s="3350"/>
      <c r="H148" s="3352"/>
      <c r="I148" s="3476"/>
      <c r="J148" s="3706"/>
      <c r="K148" s="3904"/>
      <c r="L148" s="3600"/>
      <c r="M148" s="2668"/>
      <c r="N148" s="3961"/>
      <c r="O148" s="2669"/>
      <c r="P148" s="3586"/>
      <c r="Q148" s="3030"/>
      <c r="R148" s="2347"/>
      <c r="S148" s="2087" t="s">
        <v>1963</v>
      </c>
      <c r="T148" s="3893">
        <f>6000000-2000000</f>
        <v>4000000</v>
      </c>
      <c r="U148" s="3958" t="s">
        <v>1791</v>
      </c>
      <c r="V148" s="3936" t="s">
        <v>1907</v>
      </c>
      <c r="W148" s="2621"/>
      <c r="X148" s="2621"/>
      <c r="Y148" s="2621"/>
      <c r="Z148" s="2621"/>
      <c r="AA148" s="2621"/>
      <c r="AB148" s="2621"/>
      <c r="AC148" s="2621"/>
      <c r="AD148" s="2621"/>
      <c r="AE148" s="2621"/>
      <c r="AF148" s="2621"/>
      <c r="AG148" s="2621"/>
      <c r="AH148" s="2621"/>
      <c r="AI148" s="2621"/>
      <c r="AJ148" s="2621"/>
      <c r="AK148" s="2621"/>
      <c r="AL148" s="2621"/>
      <c r="AM148" s="2621"/>
      <c r="AN148" s="2621"/>
      <c r="AO148" s="2621"/>
      <c r="AP148" s="3030"/>
    </row>
    <row r="149" spans="1:42" s="3908" customFormat="1" ht="65.25" customHeight="1" x14ac:dyDescent="0.2">
      <c r="A149" s="3874"/>
      <c r="B149" s="3874"/>
      <c r="C149" s="3874"/>
      <c r="D149" s="3957"/>
      <c r="E149" s="3957"/>
      <c r="F149" s="3957"/>
      <c r="G149" s="3350"/>
      <c r="H149" s="3352"/>
      <c r="I149" s="3476"/>
      <c r="J149" s="3706"/>
      <c r="K149" s="3904"/>
      <c r="L149" s="3600"/>
      <c r="M149" s="2668"/>
      <c r="N149" s="3961"/>
      <c r="O149" s="2669"/>
      <c r="P149" s="3586"/>
      <c r="Q149" s="3030"/>
      <c r="R149" s="2347"/>
      <c r="S149" s="2087" t="s">
        <v>1964</v>
      </c>
      <c r="T149" s="3893">
        <f>7000000-3000000</f>
        <v>4000000</v>
      </c>
      <c r="U149" s="3958" t="s">
        <v>1791</v>
      </c>
      <c r="V149" s="3936" t="s">
        <v>1907</v>
      </c>
      <c r="W149" s="2645"/>
      <c r="X149" s="2645"/>
      <c r="Y149" s="2645"/>
      <c r="Z149" s="2645"/>
      <c r="AA149" s="2645"/>
      <c r="AB149" s="2645"/>
      <c r="AC149" s="2645"/>
      <c r="AD149" s="2645"/>
      <c r="AE149" s="2645"/>
      <c r="AF149" s="2645"/>
      <c r="AG149" s="2645"/>
      <c r="AH149" s="2645"/>
      <c r="AI149" s="2645"/>
      <c r="AJ149" s="2645"/>
      <c r="AK149" s="2645"/>
      <c r="AL149" s="2645"/>
      <c r="AM149" s="2645"/>
      <c r="AN149" s="2645"/>
      <c r="AO149" s="2645"/>
      <c r="AP149" s="2847"/>
    </row>
    <row r="150" spans="1:42" s="3908" customFormat="1" ht="65.25" customHeight="1" x14ac:dyDescent="0.2">
      <c r="A150" s="3874"/>
      <c r="B150" s="3874"/>
      <c r="C150" s="3874"/>
      <c r="D150" s="3957"/>
      <c r="E150" s="3957"/>
      <c r="F150" s="3957"/>
      <c r="G150" s="3350"/>
      <c r="H150" s="3352"/>
      <c r="I150" s="3476"/>
      <c r="J150" s="3706"/>
      <c r="K150" s="3904"/>
      <c r="L150" s="3600"/>
      <c r="M150" s="2668"/>
      <c r="N150" s="3961"/>
      <c r="O150" s="2669"/>
      <c r="P150" s="3586"/>
      <c r="Q150" s="3030"/>
      <c r="R150" s="2347"/>
      <c r="S150" s="2087" t="s">
        <v>1965</v>
      </c>
      <c r="T150" s="3893">
        <f>7000000-3000000</f>
        <v>4000000</v>
      </c>
      <c r="U150" s="3958" t="s">
        <v>1791</v>
      </c>
      <c r="V150" s="3936" t="s">
        <v>1907</v>
      </c>
      <c r="W150" s="2645"/>
      <c r="X150" s="2645"/>
      <c r="Y150" s="2645"/>
      <c r="Z150" s="2645"/>
      <c r="AA150" s="2645"/>
      <c r="AB150" s="2645"/>
      <c r="AC150" s="2645"/>
      <c r="AD150" s="2645"/>
      <c r="AE150" s="2645"/>
      <c r="AF150" s="2645"/>
      <c r="AG150" s="2645"/>
      <c r="AH150" s="2645"/>
      <c r="AI150" s="2645"/>
      <c r="AJ150" s="2645"/>
      <c r="AK150" s="2645"/>
      <c r="AL150" s="2645"/>
      <c r="AM150" s="2645"/>
      <c r="AN150" s="2645"/>
      <c r="AO150" s="2645"/>
      <c r="AP150" s="2847"/>
    </row>
    <row r="151" spans="1:42" s="3908" customFormat="1" ht="65.25" customHeight="1" x14ac:dyDescent="0.2">
      <c r="A151" s="3874"/>
      <c r="B151" s="3874"/>
      <c r="C151" s="3874"/>
      <c r="D151" s="3957"/>
      <c r="E151" s="3957"/>
      <c r="F151" s="3957"/>
      <c r="G151" s="3350"/>
      <c r="H151" s="3352"/>
      <c r="I151" s="3476"/>
      <c r="J151" s="3706"/>
      <c r="K151" s="3904"/>
      <c r="L151" s="3600"/>
      <c r="M151" s="2668"/>
      <c r="N151" s="3961"/>
      <c r="O151" s="2669"/>
      <c r="P151" s="3586"/>
      <c r="Q151" s="3030"/>
      <c r="R151" s="2347"/>
      <c r="S151" s="2087" t="s">
        <v>1966</v>
      </c>
      <c r="T151" s="3893">
        <f>7000000-3000000</f>
        <v>4000000</v>
      </c>
      <c r="U151" s="3958" t="s">
        <v>1791</v>
      </c>
      <c r="V151" s="3936" t="s">
        <v>1907</v>
      </c>
      <c r="W151" s="2645"/>
      <c r="X151" s="2645"/>
      <c r="Y151" s="2645"/>
      <c r="Z151" s="2645"/>
      <c r="AA151" s="2645"/>
      <c r="AB151" s="2645"/>
      <c r="AC151" s="2645"/>
      <c r="AD151" s="2645"/>
      <c r="AE151" s="2645"/>
      <c r="AF151" s="2645"/>
      <c r="AG151" s="2645"/>
      <c r="AH151" s="2645"/>
      <c r="AI151" s="2645"/>
      <c r="AJ151" s="2645"/>
      <c r="AK151" s="2645"/>
      <c r="AL151" s="2645"/>
      <c r="AM151" s="2645"/>
      <c r="AN151" s="2645"/>
      <c r="AO151" s="2645"/>
      <c r="AP151" s="2847"/>
    </row>
    <row r="152" spans="1:42" s="3908" customFormat="1" ht="65.25" customHeight="1" x14ac:dyDescent="0.2">
      <c r="A152" s="3874"/>
      <c r="B152" s="3874"/>
      <c r="C152" s="3874"/>
      <c r="D152" s="3957"/>
      <c r="E152" s="3957"/>
      <c r="F152" s="3957"/>
      <c r="G152" s="3350"/>
      <c r="H152" s="3352"/>
      <c r="I152" s="3476"/>
      <c r="J152" s="3706"/>
      <c r="K152" s="3904"/>
      <c r="L152" s="3600"/>
      <c r="M152" s="2668"/>
      <c r="N152" s="3961"/>
      <c r="O152" s="2669"/>
      <c r="P152" s="3586"/>
      <c r="Q152" s="3030"/>
      <c r="R152" s="2347"/>
      <c r="S152" s="2087" t="s">
        <v>1967</v>
      </c>
      <c r="T152" s="3893">
        <f>7000000-3000000</f>
        <v>4000000</v>
      </c>
      <c r="U152" s="3958" t="s">
        <v>1791</v>
      </c>
      <c r="V152" s="3936" t="s">
        <v>1907</v>
      </c>
      <c r="W152" s="2645"/>
      <c r="X152" s="2645"/>
      <c r="Y152" s="2645"/>
      <c r="Z152" s="2645"/>
      <c r="AA152" s="2645"/>
      <c r="AB152" s="2645"/>
      <c r="AC152" s="2645"/>
      <c r="AD152" s="2645"/>
      <c r="AE152" s="2645"/>
      <c r="AF152" s="2645"/>
      <c r="AG152" s="2645"/>
      <c r="AH152" s="2645"/>
      <c r="AI152" s="2645"/>
      <c r="AJ152" s="2645"/>
      <c r="AK152" s="2645"/>
      <c r="AL152" s="2645"/>
      <c r="AM152" s="2645"/>
      <c r="AN152" s="2645"/>
      <c r="AO152" s="2645"/>
      <c r="AP152" s="2847"/>
    </row>
    <row r="153" spans="1:42" s="3908" customFormat="1" ht="65.25" customHeight="1" x14ac:dyDescent="0.2">
      <c r="A153" s="3874"/>
      <c r="B153" s="3874"/>
      <c r="C153" s="3874"/>
      <c r="D153" s="3957"/>
      <c r="E153" s="3957"/>
      <c r="F153" s="3957"/>
      <c r="G153" s="3350"/>
      <c r="H153" s="3352"/>
      <c r="I153" s="3476"/>
      <c r="J153" s="3706"/>
      <c r="K153" s="3904"/>
      <c r="L153" s="3600"/>
      <c r="M153" s="2668"/>
      <c r="N153" s="3961"/>
      <c r="O153" s="2669"/>
      <c r="P153" s="3586"/>
      <c r="Q153" s="3030"/>
      <c r="R153" s="2347"/>
      <c r="S153" s="2087" t="s">
        <v>1968</v>
      </c>
      <c r="T153" s="3893">
        <f>8000000-4000000</f>
        <v>4000000</v>
      </c>
      <c r="U153" s="3958" t="s">
        <v>1791</v>
      </c>
      <c r="V153" s="3936" t="s">
        <v>1907</v>
      </c>
      <c r="W153" s="2645"/>
      <c r="X153" s="2645"/>
      <c r="Y153" s="2645"/>
      <c r="Z153" s="2645"/>
      <c r="AA153" s="2645"/>
      <c r="AB153" s="2645"/>
      <c r="AC153" s="2645"/>
      <c r="AD153" s="2645"/>
      <c r="AE153" s="2645"/>
      <c r="AF153" s="2645"/>
      <c r="AG153" s="2645"/>
      <c r="AH153" s="2645"/>
      <c r="AI153" s="2645"/>
      <c r="AJ153" s="2645"/>
      <c r="AK153" s="2645"/>
      <c r="AL153" s="2645"/>
      <c r="AM153" s="2645"/>
      <c r="AN153" s="2645"/>
      <c r="AO153" s="2645"/>
      <c r="AP153" s="2847"/>
    </row>
    <row r="154" spans="1:42" s="3908" customFormat="1" ht="65.25" customHeight="1" x14ac:dyDescent="0.2">
      <c r="A154" s="3874"/>
      <c r="B154" s="3874"/>
      <c r="C154" s="3874"/>
      <c r="D154" s="3957"/>
      <c r="E154" s="3957"/>
      <c r="F154" s="3957"/>
      <c r="G154" s="3350"/>
      <c r="H154" s="3352"/>
      <c r="I154" s="3476"/>
      <c r="J154" s="3706"/>
      <c r="K154" s="3904"/>
      <c r="L154" s="3600"/>
      <c r="M154" s="2668"/>
      <c r="N154" s="3961"/>
      <c r="O154" s="2669"/>
      <c r="P154" s="3586"/>
      <c r="Q154" s="3030"/>
      <c r="R154" s="2347"/>
      <c r="S154" s="2087" t="s">
        <v>1969</v>
      </c>
      <c r="T154" s="3893">
        <v>8000000</v>
      </c>
      <c r="U154" s="3958" t="s">
        <v>1791</v>
      </c>
      <c r="V154" s="3936" t="s">
        <v>1907</v>
      </c>
      <c r="W154" s="2645"/>
      <c r="X154" s="2645"/>
      <c r="Y154" s="2645"/>
      <c r="Z154" s="2645"/>
      <c r="AA154" s="2645"/>
      <c r="AB154" s="2645"/>
      <c r="AC154" s="2645"/>
      <c r="AD154" s="2645"/>
      <c r="AE154" s="2645"/>
      <c r="AF154" s="2645"/>
      <c r="AG154" s="2645"/>
      <c r="AH154" s="2645"/>
      <c r="AI154" s="2645"/>
      <c r="AJ154" s="2645"/>
      <c r="AK154" s="2645"/>
      <c r="AL154" s="2645"/>
      <c r="AM154" s="2645"/>
      <c r="AN154" s="2645"/>
      <c r="AO154" s="2645"/>
      <c r="AP154" s="2847"/>
    </row>
    <row r="155" spans="1:42" s="3908" customFormat="1" ht="65.25" customHeight="1" x14ac:dyDescent="0.2">
      <c r="A155" s="3874"/>
      <c r="B155" s="3874"/>
      <c r="C155" s="3874"/>
      <c r="D155" s="3957"/>
      <c r="E155" s="3957"/>
      <c r="F155" s="3957"/>
      <c r="G155" s="3350"/>
      <c r="H155" s="3352"/>
      <c r="I155" s="3476"/>
      <c r="J155" s="3706"/>
      <c r="K155" s="3904"/>
      <c r="L155" s="3600"/>
      <c r="M155" s="2668"/>
      <c r="N155" s="3961"/>
      <c r="O155" s="2669"/>
      <c r="P155" s="3586"/>
      <c r="Q155" s="3030"/>
      <c r="R155" s="2347"/>
      <c r="S155" s="2087" t="s">
        <v>1970</v>
      </c>
      <c r="T155" s="3893">
        <v>8000000</v>
      </c>
      <c r="U155" s="3958" t="s">
        <v>1791</v>
      </c>
      <c r="V155" s="3936" t="s">
        <v>1907</v>
      </c>
      <c r="W155" s="2645"/>
      <c r="X155" s="2645"/>
      <c r="Y155" s="2645"/>
      <c r="Z155" s="2645"/>
      <c r="AA155" s="2645"/>
      <c r="AB155" s="2645"/>
      <c r="AC155" s="2645"/>
      <c r="AD155" s="2645"/>
      <c r="AE155" s="2645"/>
      <c r="AF155" s="2645"/>
      <c r="AG155" s="2645"/>
      <c r="AH155" s="2645"/>
      <c r="AI155" s="2645"/>
      <c r="AJ155" s="2645"/>
      <c r="AK155" s="2645"/>
      <c r="AL155" s="2645"/>
      <c r="AM155" s="2645"/>
      <c r="AN155" s="2645"/>
      <c r="AO155" s="2645"/>
      <c r="AP155" s="2847"/>
    </row>
    <row r="156" spans="1:42" s="3908" customFormat="1" ht="65.25" customHeight="1" x14ac:dyDescent="0.2">
      <c r="A156" s="3874"/>
      <c r="B156" s="3874"/>
      <c r="C156" s="3874"/>
      <c r="D156" s="3957"/>
      <c r="E156" s="3957"/>
      <c r="F156" s="3957"/>
      <c r="G156" s="3350"/>
      <c r="H156" s="3352"/>
      <c r="I156" s="3476"/>
      <c r="J156" s="3706"/>
      <c r="K156" s="3904"/>
      <c r="L156" s="3600"/>
      <c r="M156" s="2668"/>
      <c r="N156" s="3961"/>
      <c r="O156" s="2669"/>
      <c r="P156" s="3586"/>
      <c r="Q156" s="3030"/>
      <c r="R156" s="2347"/>
      <c r="S156" s="3965" t="s">
        <v>1971</v>
      </c>
      <c r="T156" s="3966">
        <f>8000000-4000000</f>
        <v>4000000</v>
      </c>
      <c r="U156" s="2116">
        <v>61</v>
      </c>
      <c r="V156" s="3967" t="s">
        <v>1907</v>
      </c>
      <c r="W156" s="2645"/>
      <c r="X156" s="2645"/>
      <c r="Y156" s="2645"/>
      <c r="Z156" s="2645"/>
      <c r="AA156" s="2645"/>
      <c r="AB156" s="2645"/>
      <c r="AC156" s="2645"/>
      <c r="AD156" s="2645"/>
      <c r="AE156" s="2645"/>
      <c r="AF156" s="2645"/>
      <c r="AG156" s="2645"/>
      <c r="AH156" s="2645"/>
      <c r="AI156" s="2645"/>
      <c r="AJ156" s="2645"/>
      <c r="AK156" s="2645"/>
      <c r="AL156" s="2645"/>
      <c r="AM156" s="2645"/>
      <c r="AN156" s="2645"/>
      <c r="AO156" s="2645"/>
      <c r="AP156" s="2847"/>
    </row>
    <row r="157" spans="1:42" s="3908" customFormat="1" ht="61.5" customHeight="1" x14ac:dyDescent="0.2">
      <c r="A157" s="3874"/>
      <c r="B157" s="3874"/>
      <c r="C157" s="3874"/>
      <c r="D157" s="3957"/>
      <c r="E157" s="3957"/>
      <c r="F157" s="3957"/>
      <c r="G157" s="3564" t="s">
        <v>52</v>
      </c>
      <c r="H157" s="2668">
        <v>12.16</v>
      </c>
      <c r="I157" s="2772" t="s">
        <v>1927</v>
      </c>
      <c r="J157" s="2426" t="s">
        <v>1928</v>
      </c>
      <c r="K157" s="3904">
        <v>11</v>
      </c>
      <c r="L157" s="3600"/>
      <c r="M157" s="2668"/>
      <c r="N157" s="3961"/>
      <c r="O157" s="2669">
        <f>SUM(T157:T166)/P144</f>
        <v>0.4576271186440678</v>
      </c>
      <c r="P157" s="3586"/>
      <c r="Q157" s="3030"/>
      <c r="R157" s="2878"/>
      <c r="S157" s="2114" t="s">
        <v>1972</v>
      </c>
      <c r="T157" s="3893">
        <v>6000000</v>
      </c>
      <c r="U157" s="3958" t="s">
        <v>1791</v>
      </c>
      <c r="V157" s="3968" t="s">
        <v>1907</v>
      </c>
      <c r="W157" s="2645"/>
      <c r="X157" s="2645"/>
      <c r="Y157" s="2645"/>
      <c r="Z157" s="2645"/>
      <c r="AA157" s="2645"/>
      <c r="AB157" s="2645"/>
      <c r="AC157" s="2645"/>
      <c r="AD157" s="2645"/>
      <c r="AE157" s="2645"/>
      <c r="AF157" s="2645"/>
      <c r="AG157" s="2645"/>
      <c r="AH157" s="2645"/>
      <c r="AI157" s="2645"/>
      <c r="AJ157" s="2645"/>
      <c r="AK157" s="2645"/>
      <c r="AL157" s="2645"/>
      <c r="AM157" s="2645"/>
      <c r="AN157" s="2645"/>
      <c r="AO157" s="2645"/>
      <c r="AP157" s="2847"/>
    </row>
    <row r="158" spans="1:42" s="3908" customFormat="1" ht="87" customHeight="1" x14ac:dyDescent="0.2">
      <c r="A158" s="3874"/>
      <c r="B158" s="3874"/>
      <c r="C158" s="3874"/>
      <c r="D158" s="3957"/>
      <c r="E158" s="3957"/>
      <c r="F158" s="3957"/>
      <c r="G158" s="3564"/>
      <c r="H158" s="2668"/>
      <c r="I158" s="2772"/>
      <c r="J158" s="2426"/>
      <c r="K158" s="3904"/>
      <c r="L158" s="3600"/>
      <c r="M158" s="2668"/>
      <c r="N158" s="3961"/>
      <c r="O158" s="2669"/>
      <c r="P158" s="3586"/>
      <c r="Q158" s="3030"/>
      <c r="R158" s="2878"/>
      <c r="S158" s="2101" t="s">
        <v>1973</v>
      </c>
      <c r="T158" s="3893">
        <v>6000000</v>
      </c>
      <c r="U158" s="3958" t="s">
        <v>1791</v>
      </c>
      <c r="V158" s="3968" t="s">
        <v>1907</v>
      </c>
      <c r="W158" s="2645"/>
      <c r="X158" s="2645"/>
      <c r="Y158" s="2645"/>
      <c r="Z158" s="2645"/>
      <c r="AA158" s="2645"/>
      <c r="AB158" s="2645"/>
      <c r="AC158" s="2645"/>
      <c r="AD158" s="2645"/>
      <c r="AE158" s="2645"/>
      <c r="AF158" s="2645"/>
      <c r="AG158" s="2645"/>
      <c r="AH158" s="2645"/>
      <c r="AI158" s="2645"/>
      <c r="AJ158" s="2645"/>
      <c r="AK158" s="2645"/>
      <c r="AL158" s="2645"/>
      <c r="AM158" s="2645"/>
      <c r="AN158" s="2645"/>
      <c r="AO158" s="2645"/>
      <c r="AP158" s="2847"/>
    </row>
    <row r="159" spans="1:42" s="3908" customFormat="1" ht="87" customHeight="1" x14ac:dyDescent="0.2">
      <c r="A159" s="3874"/>
      <c r="B159" s="3874"/>
      <c r="C159" s="3874"/>
      <c r="D159" s="3957"/>
      <c r="E159" s="3957"/>
      <c r="F159" s="3957"/>
      <c r="G159" s="3564"/>
      <c r="H159" s="2668"/>
      <c r="I159" s="2772"/>
      <c r="J159" s="2426"/>
      <c r="K159" s="3904"/>
      <c r="L159" s="3600"/>
      <c r="M159" s="2668"/>
      <c r="N159" s="3961"/>
      <c r="O159" s="2669"/>
      <c r="P159" s="3586"/>
      <c r="Q159" s="3030"/>
      <c r="R159" s="2878"/>
      <c r="S159" s="2101" t="s">
        <v>1974</v>
      </c>
      <c r="T159" s="3893">
        <v>6000000</v>
      </c>
      <c r="U159" s="3958" t="s">
        <v>1791</v>
      </c>
      <c r="V159" s="3968" t="s">
        <v>1907</v>
      </c>
      <c r="W159" s="2645"/>
      <c r="X159" s="2645"/>
      <c r="Y159" s="2645"/>
      <c r="Z159" s="2645"/>
      <c r="AA159" s="2645"/>
      <c r="AB159" s="2645"/>
      <c r="AC159" s="2645"/>
      <c r="AD159" s="2645"/>
      <c r="AE159" s="2645"/>
      <c r="AF159" s="2645"/>
      <c r="AG159" s="2645"/>
      <c r="AH159" s="2645"/>
      <c r="AI159" s="2645"/>
      <c r="AJ159" s="2645"/>
      <c r="AK159" s="2645"/>
      <c r="AL159" s="2645"/>
      <c r="AM159" s="2645"/>
      <c r="AN159" s="2645"/>
      <c r="AO159" s="2645"/>
      <c r="AP159" s="2847"/>
    </row>
    <row r="160" spans="1:42" s="3908" customFormat="1" ht="61.5" customHeight="1" x14ac:dyDescent="0.2">
      <c r="A160" s="3874"/>
      <c r="B160" s="3874"/>
      <c r="C160" s="3874"/>
      <c r="D160" s="3957"/>
      <c r="E160" s="3957"/>
      <c r="F160" s="3957"/>
      <c r="G160" s="3564"/>
      <c r="H160" s="2668"/>
      <c r="I160" s="2772"/>
      <c r="J160" s="2426"/>
      <c r="K160" s="3904"/>
      <c r="L160" s="3600"/>
      <c r="M160" s="2668"/>
      <c r="N160" s="3961"/>
      <c r="O160" s="2669"/>
      <c r="P160" s="3586"/>
      <c r="Q160" s="3030"/>
      <c r="R160" s="2878"/>
      <c r="S160" s="2101" t="s">
        <v>1975</v>
      </c>
      <c r="T160" s="3893">
        <f>6000000-3000000</f>
        <v>3000000</v>
      </c>
      <c r="U160" s="3958" t="s">
        <v>1791</v>
      </c>
      <c r="V160" s="3968" t="s">
        <v>1907</v>
      </c>
      <c r="W160" s="2645"/>
      <c r="X160" s="2645"/>
      <c r="Y160" s="2645"/>
      <c r="Z160" s="2645"/>
      <c r="AA160" s="2645"/>
      <c r="AB160" s="2645"/>
      <c r="AC160" s="2645"/>
      <c r="AD160" s="2645"/>
      <c r="AE160" s="2645"/>
      <c r="AF160" s="2645"/>
      <c r="AG160" s="2645"/>
      <c r="AH160" s="2645"/>
      <c r="AI160" s="2645"/>
      <c r="AJ160" s="2645"/>
      <c r="AK160" s="2645"/>
      <c r="AL160" s="2645"/>
      <c r="AM160" s="2645"/>
      <c r="AN160" s="2645"/>
      <c r="AO160" s="2645"/>
      <c r="AP160" s="2847"/>
    </row>
    <row r="161" spans="1:42" s="3908" customFormat="1" ht="61.5" customHeight="1" x14ac:dyDescent="0.2">
      <c r="A161" s="3874"/>
      <c r="B161" s="3874"/>
      <c r="C161" s="3874"/>
      <c r="D161" s="3957"/>
      <c r="E161" s="3957"/>
      <c r="F161" s="3957"/>
      <c r="G161" s="3564"/>
      <c r="H161" s="2668"/>
      <c r="I161" s="2772"/>
      <c r="J161" s="2426"/>
      <c r="K161" s="3904"/>
      <c r="L161" s="3600"/>
      <c r="M161" s="2668"/>
      <c r="N161" s="3961"/>
      <c r="O161" s="2669"/>
      <c r="P161" s="3586"/>
      <c r="Q161" s="3030"/>
      <c r="R161" s="2878"/>
      <c r="S161" s="2101" t="s">
        <v>1976</v>
      </c>
      <c r="T161" s="3893">
        <f>6000000-3000000</f>
        <v>3000000</v>
      </c>
      <c r="U161" s="3958" t="s">
        <v>1791</v>
      </c>
      <c r="V161" s="3968" t="s">
        <v>1907</v>
      </c>
      <c r="W161" s="2645"/>
      <c r="X161" s="2645"/>
      <c r="Y161" s="2645"/>
      <c r="Z161" s="2645"/>
      <c r="AA161" s="2645"/>
      <c r="AB161" s="2645"/>
      <c r="AC161" s="2645"/>
      <c r="AD161" s="2645"/>
      <c r="AE161" s="2645"/>
      <c r="AF161" s="2645"/>
      <c r="AG161" s="2645"/>
      <c r="AH161" s="2645"/>
      <c r="AI161" s="2645"/>
      <c r="AJ161" s="2645"/>
      <c r="AK161" s="2645"/>
      <c r="AL161" s="2645"/>
      <c r="AM161" s="2645"/>
      <c r="AN161" s="2645"/>
      <c r="AO161" s="2645"/>
      <c r="AP161" s="2847"/>
    </row>
    <row r="162" spans="1:42" s="3908" customFormat="1" ht="61.5" customHeight="1" x14ac:dyDescent="0.2">
      <c r="A162" s="3874"/>
      <c r="B162" s="3874"/>
      <c r="C162" s="3874"/>
      <c r="D162" s="3957"/>
      <c r="E162" s="3957"/>
      <c r="F162" s="3957"/>
      <c r="G162" s="3564"/>
      <c r="H162" s="2668"/>
      <c r="I162" s="2772"/>
      <c r="J162" s="2426"/>
      <c r="K162" s="3904"/>
      <c r="L162" s="3600"/>
      <c r="M162" s="2668"/>
      <c r="N162" s="3961"/>
      <c r="O162" s="2669"/>
      <c r="P162" s="3586"/>
      <c r="Q162" s="3030"/>
      <c r="R162" s="2878"/>
      <c r="S162" s="2101" t="s">
        <v>1977</v>
      </c>
      <c r="T162" s="3893">
        <v>6000000</v>
      </c>
      <c r="U162" s="3958" t="s">
        <v>1791</v>
      </c>
      <c r="V162" s="3968" t="s">
        <v>1907</v>
      </c>
      <c r="W162" s="2645"/>
      <c r="X162" s="2645"/>
      <c r="Y162" s="2645"/>
      <c r="Z162" s="2645"/>
      <c r="AA162" s="2645"/>
      <c r="AB162" s="2645"/>
      <c r="AC162" s="2645"/>
      <c r="AD162" s="2645"/>
      <c r="AE162" s="2645"/>
      <c r="AF162" s="2645"/>
      <c r="AG162" s="2645"/>
      <c r="AH162" s="2645"/>
      <c r="AI162" s="2645"/>
      <c r="AJ162" s="2645"/>
      <c r="AK162" s="2645"/>
      <c r="AL162" s="2645"/>
      <c r="AM162" s="2645"/>
      <c r="AN162" s="2645"/>
      <c r="AO162" s="2645"/>
      <c r="AP162" s="2847"/>
    </row>
    <row r="163" spans="1:42" s="3908" customFormat="1" ht="61.5" customHeight="1" x14ac:dyDescent="0.2">
      <c r="A163" s="3874"/>
      <c r="B163" s="3874"/>
      <c r="C163" s="3874"/>
      <c r="D163" s="3957"/>
      <c r="E163" s="3957"/>
      <c r="F163" s="3957"/>
      <c r="G163" s="3564"/>
      <c r="H163" s="2668"/>
      <c r="I163" s="2772"/>
      <c r="J163" s="2426"/>
      <c r="K163" s="3904"/>
      <c r="L163" s="3600"/>
      <c r="M163" s="2668"/>
      <c r="N163" s="3961"/>
      <c r="O163" s="2669"/>
      <c r="P163" s="3586"/>
      <c r="Q163" s="3030"/>
      <c r="R163" s="2878"/>
      <c r="S163" s="2101" t="s">
        <v>1978</v>
      </c>
      <c r="T163" s="3893">
        <v>6000000</v>
      </c>
      <c r="U163" s="3958" t="s">
        <v>1791</v>
      </c>
      <c r="V163" s="3968" t="s">
        <v>1907</v>
      </c>
      <c r="W163" s="2645"/>
      <c r="X163" s="2645"/>
      <c r="Y163" s="2645"/>
      <c r="Z163" s="2645"/>
      <c r="AA163" s="2645"/>
      <c r="AB163" s="2645"/>
      <c r="AC163" s="2645"/>
      <c r="AD163" s="2645"/>
      <c r="AE163" s="2645"/>
      <c r="AF163" s="2645"/>
      <c r="AG163" s="2645"/>
      <c r="AH163" s="2645"/>
      <c r="AI163" s="2645"/>
      <c r="AJ163" s="2645"/>
      <c r="AK163" s="2645"/>
      <c r="AL163" s="2645"/>
      <c r="AM163" s="2645"/>
      <c r="AN163" s="2645"/>
      <c r="AO163" s="2645"/>
      <c r="AP163" s="2847"/>
    </row>
    <row r="164" spans="1:42" s="3908" customFormat="1" ht="61.5" customHeight="1" x14ac:dyDescent="0.2">
      <c r="A164" s="3874"/>
      <c r="B164" s="3874"/>
      <c r="C164" s="3874"/>
      <c r="D164" s="3957"/>
      <c r="E164" s="3957"/>
      <c r="F164" s="3957"/>
      <c r="G164" s="3564"/>
      <c r="H164" s="2668"/>
      <c r="I164" s="2772"/>
      <c r="J164" s="2426"/>
      <c r="K164" s="3904"/>
      <c r="L164" s="3600"/>
      <c r="M164" s="2668"/>
      <c r="N164" s="3961"/>
      <c r="O164" s="2669"/>
      <c r="P164" s="3586"/>
      <c r="Q164" s="3030"/>
      <c r="R164" s="2878"/>
      <c r="S164" s="2101" t="s">
        <v>1979</v>
      </c>
      <c r="T164" s="3893">
        <v>6000000</v>
      </c>
      <c r="U164" s="3958" t="s">
        <v>1791</v>
      </c>
      <c r="V164" s="3968" t="s">
        <v>1907</v>
      </c>
      <c r="W164" s="2645"/>
      <c r="X164" s="2645"/>
      <c r="Y164" s="2645"/>
      <c r="Z164" s="2645"/>
      <c r="AA164" s="2645"/>
      <c r="AB164" s="2645"/>
      <c r="AC164" s="2645"/>
      <c r="AD164" s="2645"/>
      <c r="AE164" s="2645"/>
      <c r="AF164" s="2645"/>
      <c r="AG164" s="2645"/>
      <c r="AH164" s="2645"/>
      <c r="AI164" s="2645"/>
      <c r="AJ164" s="2645"/>
      <c r="AK164" s="2645"/>
      <c r="AL164" s="2645"/>
      <c r="AM164" s="2645"/>
      <c r="AN164" s="2645"/>
      <c r="AO164" s="2645"/>
      <c r="AP164" s="2847"/>
    </row>
    <row r="165" spans="1:42" s="3908" customFormat="1" ht="61.5" customHeight="1" x14ac:dyDescent="0.2">
      <c r="A165" s="3874"/>
      <c r="B165" s="3874"/>
      <c r="C165" s="3874"/>
      <c r="D165" s="3957"/>
      <c r="E165" s="3957"/>
      <c r="F165" s="3957"/>
      <c r="G165" s="3564"/>
      <c r="H165" s="2668"/>
      <c r="I165" s="2772"/>
      <c r="J165" s="2426"/>
      <c r="K165" s="3904"/>
      <c r="L165" s="3600"/>
      <c r="M165" s="2668"/>
      <c r="N165" s="3961"/>
      <c r="O165" s="2669"/>
      <c r="P165" s="3586"/>
      <c r="Q165" s="3030"/>
      <c r="R165" s="2878"/>
      <c r="S165" s="2101" t="s">
        <v>1980</v>
      </c>
      <c r="T165" s="3893">
        <v>6000000</v>
      </c>
      <c r="U165" s="3958" t="s">
        <v>1791</v>
      </c>
      <c r="V165" s="3968" t="s">
        <v>1907</v>
      </c>
      <c r="W165" s="2645"/>
      <c r="X165" s="2645"/>
      <c r="Y165" s="2645"/>
      <c r="Z165" s="2645"/>
      <c r="AA165" s="2645"/>
      <c r="AB165" s="2645"/>
      <c r="AC165" s="2645"/>
      <c r="AD165" s="2645"/>
      <c r="AE165" s="2645"/>
      <c r="AF165" s="2645"/>
      <c r="AG165" s="2645"/>
      <c r="AH165" s="2645"/>
      <c r="AI165" s="2645"/>
      <c r="AJ165" s="2645"/>
      <c r="AK165" s="2645"/>
      <c r="AL165" s="2645"/>
      <c r="AM165" s="2645"/>
      <c r="AN165" s="2645"/>
      <c r="AO165" s="2645"/>
      <c r="AP165" s="2847"/>
    </row>
    <row r="166" spans="1:42" s="3908" customFormat="1" ht="61.5" customHeight="1" x14ac:dyDescent="0.2">
      <c r="A166" s="3874"/>
      <c r="B166" s="3874"/>
      <c r="C166" s="3874"/>
      <c r="D166" s="3957"/>
      <c r="E166" s="3957"/>
      <c r="F166" s="3957"/>
      <c r="G166" s="3564"/>
      <c r="H166" s="2668"/>
      <c r="I166" s="2871"/>
      <c r="J166" s="2426"/>
      <c r="K166" s="3904"/>
      <c r="L166" s="3600"/>
      <c r="M166" s="2735"/>
      <c r="N166" s="3961"/>
      <c r="O166" s="2669"/>
      <c r="P166" s="3601"/>
      <c r="Q166" s="3030"/>
      <c r="R166" s="2878"/>
      <c r="S166" s="2101" t="s">
        <v>1981</v>
      </c>
      <c r="T166" s="3893">
        <v>6000000</v>
      </c>
      <c r="U166" s="3958" t="s">
        <v>1791</v>
      </c>
      <c r="V166" s="3968" t="s">
        <v>1907</v>
      </c>
      <c r="W166" s="2646"/>
      <c r="X166" s="2646"/>
      <c r="Y166" s="2646"/>
      <c r="Z166" s="2646"/>
      <c r="AA166" s="2646"/>
      <c r="AB166" s="2646"/>
      <c r="AC166" s="2646"/>
      <c r="AD166" s="2646"/>
      <c r="AE166" s="2646"/>
      <c r="AF166" s="2646"/>
      <c r="AG166" s="2646"/>
      <c r="AH166" s="2646"/>
      <c r="AI166" s="2646"/>
      <c r="AJ166" s="2646"/>
      <c r="AK166" s="2646"/>
      <c r="AL166" s="2646"/>
      <c r="AM166" s="2646"/>
      <c r="AN166" s="2646"/>
      <c r="AO166" s="2646"/>
      <c r="AP166" s="2848"/>
    </row>
    <row r="167" spans="1:42" s="3908" customFormat="1" ht="50.25" customHeight="1" x14ac:dyDescent="0.2">
      <c r="A167" s="3874"/>
      <c r="B167" s="3874"/>
      <c r="C167" s="3874"/>
      <c r="D167" s="3957"/>
      <c r="E167" s="3957"/>
      <c r="F167" s="3957"/>
      <c r="G167" s="3969">
        <v>1905020</v>
      </c>
      <c r="H167" s="3602">
        <v>12.5</v>
      </c>
      <c r="I167" s="2772" t="s">
        <v>1982</v>
      </c>
      <c r="J167" s="3963" t="s">
        <v>1983</v>
      </c>
      <c r="K167" s="3904">
        <v>12</v>
      </c>
      <c r="L167" s="2119"/>
      <c r="M167" s="3101" t="s">
        <v>1984</v>
      </c>
      <c r="N167" s="3157" t="s">
        <v>1985</v>
      </c>
      <c r="O167" s="3970">
        <f>SUM(T167:T170)/P167</f>
        <v>0.26938775510204083</v>
      </c>
      <c r="P167" s="3586">
        <f>SUM(T167:T182)</f>
        <v>122500000</v>
      </c>
      <c r="Q167" s="2772" t="s">
        <v>1986</v>
      </c>
      <c r="R167" s="2864" t="s">
        <v>1987</v>
      </c>
      <c r="S167" s="2131" t="s">
        <v>1988</v>
      </c>
      <c r="T167" s="3902">
        <v>10000000</v>
      </c>
      <c r="U167" s="3958" t="s">
        <v>1791</v>
      </c>
      <c r="V167" s="3894" t="s">
        <v>1907</v>
      </c>
      <c r="W167" s="2644">
        <v>283947</v>
      </c>
      <c r="X167" s="2644">
        <v>294321</v>
      </c>
      <c r="Y167" s="2644">
        <v>135754</v>
      </c>
      <c r="Z167" s="2644">
        <v>44640</v>
      </c>
      <c r="AA167" s="2644">
        <v>308178</v>
      </c>
      <c r="AB167" s="2644">
        <f>AA167*0.83</f>
        <v>255787.74</v>
      </c>
      <c r="AC167" s="2644">
        <v>89696</v>
      </c>
      <c r="AD167" s="2644">
        <v>2145</v>
      </c>
      <c r="AE167" s="2644">
        <v>12718</v>
      </c>
      <c r="AF167" s="2644">
        <v>26</v>
      </c>
      <c r="AG167" s="2644">
        <v>37</v>
      </c>
      <c r="AH167" s="2644">
        <v>0</v>
      </c>
      <c r="AI167" s="2644">
        <v>0</v>
      </c>
      <c r="AJ167" s="2644">
        <v>88560</v>
      </c>
      <c r="AK167" s="2644">
        <v>24486</v>
      </c>
      <c r="AL167" s="2644">
        <v>0</v>
      </c>
      <c r="AM167" s="2644">
        <v>578268</v>
      </c>
      <c r="AN167" s="3939">
        <v>43832</v>
      </c>
      <c r="AO167" s="3939">
        <v>44196</v>
      </c>
      <c r="AP167" s="2846" t="s">
        <v>1739</v>
      </c>
    </row>
    <row r="168" spans="1:42" s="3908" customFormat="1" ht="50.25" customHeight="1" x14ac:dyDescent="0.2">
      <c r="A168" s="3874"/>
      <c r="B168" s="3874"/>
      <c r="C168" s="3874"/>
      <c r="D168" s="3957"/>
      <c r="E168" s="3957"/>
      <c r="F168" s="3957"/>
      <c r="G168" s="3971"/>
      <c r="H168" s="3603"/>
      <c r="I168" s="2772"/>
      <c r="J168" s="3961"/>
      <c r="K168" s="3904"/>
      <c r="L168" s="2089"/>
      <c r="M168" s="3101"/>
      <c r="N168" s="3157"/>
      <c r="O168" s="3972"/>
      <c r="P168" s="3586"/>
      <c r="Q168" s="2772"/>
      <c r="R168" s="2864"/>
      <c r="S168" s="2131" t="s">
        <v>1989</v>
      </c>
      <c r="T168" s="3902">
        <v>3000000</v>
      </c>
      <c r="U168" s="3958" t="s">
        <v>1791</v>
      </c>
      <c r="V168" s="3894" t="s">
        <v>1907</v>
      </c>
      <c r="W168" s="2645"/>
      <c r="X168" s="2645"/>
      <c r="Y168" s="2645"/>
      <c r="Z168" s="2645"/>
      <c r="AA168" s="2645"/>
      <c r="AB168" s="2645"/>
      <c r="AC168" s="2645"/>
      <c r="AD168" s="2645"/>
      <c r="AE168" s="2645"/>
      <c r="AF168" s="2645"/>
      <c r="AG168" s="2645"/>
      <c r="AH168" s="2645"/>
      <c r="AI168" s="2645"/>
      <c r="AJ168" s="2645"/>
      <c r="AK168" s="2645"/>
      <c r="AL168" s="2645"/>
      <c r="AM168" s="2645"/>
      <c r="AN168" s="2645"/>
      <c r="AO168" s="2645"/>
      <c r="AP168" s="2847"/>
    </row>
    <row r="169" spans="1:42" s="3908" customFormat="1" ht="50.25" customHeight="1" x14ac:dyDescent="0.2">
      <c r="A169" s="3874"/>
      <c r="B169" s="3874"/>
      <c r="C169" s="3874"/>
      <c r="D169" s="3957"/>
      <c r="E169" s="3957"/>
      <c r="F169" s="3957"/>
      <c r="G169" s="3971"/>
      <c r="H169" s="3603"/>
      <c r="I169" s="2772"/>
      <c r="J169" s="3961"/>
      <c r="K169" s="3904"/>
      <c r="L169" s="2089"/>
      <c r="M169" s="3101"/>
      <c r="N169" s="3157"/>
      <c r="O169" s="3972"/>
      <c r="P169" s="3586"/>
      <c r="Q169" s="2772"/>
      <c r="R169" s="2864"/>
      <c r="S169" s="2131" t="s">
        <v>1990</v>
      </c>
      <c r="T169" s="3902">
        <v>10000000</v>
      </c>
      <c r="U169" s="3958" t="s">
        <v>1791</v>
      </c>
      <c r="V169" s="3894" t="s">
        <v>1907</v>
      </c>
      <c r="W169" s="2645"/>
      <c r="X169" s="2645"/>
      <c r="Y169" s="2645"/>
      <c r="Z169" s="2645"/>
      <c r="AA169" s="2645"/>
      <c r="AB169" s="2645"/>
      <c r="AC169" s="2645"/>
      <c r="AD169" s="2645"/>
      <c r="AE169" s="2645"/>
      <c r="AF169" s="2645"/>
      <c r="AG169" s="2645"/>
      <c r="AH169" s="2645"/>
      <c r="AI169" s="2645"/>
      <c r="AJ169" s="2645"/>
      <c r="AK169" s="2645"/>
      <c r="AL169" s="2645"/>
      <c r="AM169" s="2645"/>
      <c r="AN169" s="2645"/>
      <c r="AO169" s="2645"/>
      <c r="AP169" s="2847"/>
    </row>
    <row r="170" spans="1:42" s="3908" customFormat="1" ht="50.25" customHeight="1" x14ac:dyDescent="0.2">
      <c r="A170" s="3874"/>
      <c r="B170" s="3874"/>
      <c r="C170" s="3874"/>
      <c r="D170" s="3957"/>
      <c r="E170" s="3957"/>
      <c r="F170" s="3957"/>
      <c r="G170" s="3973"/>
      <c r="H170" s="3604"/>
      <c r="I170" s="2772"/>
      <c r="J170" s="3974"/>
      <c r="K170" s="3904"/>
      <c r="L170" s="2089"/>
      <c r="M170" s="3101"/>
      <c r="N170" s="3157"/>
      <c r="O170" s="3590"/>
      <c r="P170" s="3586"/>
      <c r="Q170" s="2772"/>
      <c r="R170" s="2864"/>
      <c r="S170" s="2131" t="s">
        <v>1991</v>
      </c>
      <c r="T170" s="3902">
        <v>10000000</v>
      </c>
      <c r="U170" s="3958" t="s">
        <v>1791</v>
      </c>
      <c r="V170" s="3894" t="s">
        <v>1907</v>
      </c>
      <c r="W170" s="2645"/>
      <c r="X170" s="2645"/>
      <c r="Y170" s="2645"/>
      <c r="Z170" s="2645"/>
      <c r="AA170" s="2645"/>
      <c r="AB170" s="2645"/>
      <c r="AC170" s="2645"/>
      <c r="AD170" s="2645"/>
      <c r="AE170" s="2645"/>
      <c r="AF170" s="2645"/>
      <c r="AG170" s="2645"/>
      <c r="AH170" s="2645"/>
      <c r="AI170" s="2645"/>
      <c r="AJ170" s="2645"/>
      <c r="AK170" s="2645"/>
      <c r="AL170" s="2645"/>
      <c r="AM170" s="2645"/>
      <c r="AN170" s="2645"/>
      <c r="AO170" s="2645"/>
      <c r="AP170" s="2847"/>
    </row>
    <row r="171" spans="1:42" s="3908" customFormat="1" ht="75" customHeight="1" x14ac:dyDescent="0.2">
      <c r="A171" s="3874"/>
      <c r="B171" s="3874"/>
      <c r="C171" s="3874"/>
      <c r="D171" s="3957"/>
      <c r="E171" s="3957"/>
      <c r="F171" s="3957"/>
      <c r="G171" s="3637">
        <v>1905022</v>
      </c>
      <c r="H171" s="3562">
        <v>12.7</v>
      </c>
      <c r="I171" s="2398" t="s">
        <v>1992</v>
      </c>
      <c r="J171" s="3041" t="s">
        <v>657</v>
      </c>
      <c r="K171" s="3904">
        <v>12</v>
      </c>
      <c r="L171" s="2089"/>
      <c r="M171" s="3101"/>
      <c r="N171" s="3157"/>
      <c r="O171" s="3589">
        <f>SUM(T171:T175)/P167</f>
        <v>0.42857142857142855</v>
      </c>
      <c r="P171" s="2668"/>
      <c r="Q171" s="2772"/>
      <c r="R171" s="2864"/>
      <c r="S171" s="2131" t="s">
        <v>1993</v>
      </c>
      <c r="T171" s="3902">
        <v>12000000</v>
      </c>
      <c r="U171" s="3958" t="s">
        <v>1791</v>
      </c>
      <c r="V171" s="3894" t="s">
        <v>1907</v>
      </c>
      <c r="W171" s="2645"/>
      <c r="X171" s="2645"/>
      <c r="Y171" s="2645"/>
      <c r="Z171" s="2645"/>
      <c r="AA171" s="2645"/>
      <c r="AB171" s="2645"/>
      <c r="AC171" s="2645"/>
      <c r="AD171" s="2645"/>
      <c r="AE171" s="2645"/>
      <c r="AF171" s="2645"/>
      <c r="AG171" s="2645"/>
      <c r="AH171" s="2645"/>
      <c r="AI171" s="2645"/>
      <c r="AJ171" s="2645"/>
      <c r="AK171" s="2645"/>
      <c r="AL171" s="2645"/>
      <c r="AM171" s="2645"/>
      <c r="AN171" s="2645"/>
      <c r="AO171" s="2645"/>
      <c r="AP171" s="2847"/>
    </row>
    <row r="172" spans="1:42" s="3908" customFormat="1" ht="75" customHeight="1" x14ac:dyDescent="0.2">
      <c r="A172" s="3874"/>
      <c r="B172" s="3874"/>
      <c r="C172" s="3874"/>
      <c r="D172" s="3957"/>
      <c r="E172" s="3957"/>
      <c r="F172" s="3957"/>
      <c r="G172" s="3971"/>
      <c r="H172" s="3563"/>
      <c r="I172" s="2398"/>
      <c r="J172" s="3042"/>
      <c r="K172" s="3904"/>
      <c r="L172" s="2089"/>
      <c r="M172" s="3101"/>
      <c r="N172" s="3157"/>
      <c r="O172" s="3972"/>
      <c r="P172" s="2668"/>
      <c r="Q172" s="2772"/>
      <c r="R172" s="2864"/>
      <c r="S172" s="2131" t="s">
        <v>1994</v>
      </c>
      <c r="T172" s="3902">
        <v>12000000</v>
      </c>
      <c r="U172" s="3958" t="s">
        <v>1791</v>
      </c>
      <c r="V172" s="3894" t="s">
        <v>1907</v>
      </c>
      <c r="W172" s="2645"/>
      <c r="X172" s="2645"/>
      <c r="Y172" s="2645"/>
      <c r="Z172" s="2645"/>
      <c r="AA172" s="2645"/>
      <c r="AB172" s="2645"/>
      <c r="AC172" s="2645"/>
      <c r="AD172" s="2645"/>
      <c r="AE172" s="2645"/>
      <c r="AF172" s="2645"/>
      <c r="AG172" s="2645"/>
      <c r="AH172" s="2645"/>
      <c r="AI172" s="2645"/>
      <c r="AJ172" s="2645"/>
      <c r="AK172" s="2645"/>
      <c r="AL172" s="2645"/>
      <c r="AM172" s="2645"/>
      <c r="AN172" s="2645"/>
      <c r="AO172" s="2645"/>
      <c r="AP172" s="2847"/>
    </row>
    <row r="173" spans="1:42" s="3908" customFormat="1" ht="75" customHeight="1" x14ac:dyDescent="0.2">
      <c r="A173" s="3874"/>
      <c r="B173" s="3874"/>
      <c r="C173" s="3874"/>
      <c r="D173" s="3957"/>
      <c r="E173" s="3957"/>
      <c r="F173" s="3957"/>
      <c r="G173" s="3971"/>
      <c r="H173" s="3563"/>
      <c r="I173" s="2398"/>
      <c r="J173" s="3042"/>
      <c r="K173" s="3904"/>
      <c r="L173" s="2089"/>
      <c r="M173" s="3101"/>
      <c r="N173" s="3157"/>
      <c r="O173" s="3972"/>
      <c r="P173" s="2668"/>
      <c r="Q173" s="2772"/>
      <c r="R173" s="2864"/>
      <c r="S173" s="2131" t="s">
        <v>1995</v>
      </c>
      <c r="T173" s="3902">
        <v>12000000</v>
      </c>
      <c r="U173" s="3958" t="s">
        <v>1791</v>
      </c>
      <c r="V173" s="3894" t="s">
        <v>1907</v>
      </c>
      <c r="W173" s="2645"/>
      <c r="X173" s="2645"/>
      <c r="Y173" s="2645"/>
      <c r="Z173" s="2645"/>
      <c r="AA173" s="2645"/>
      <c r="AB173" s="2645"/>
      <c r="AC173" s="2645"/>
      <c r="AD173" s="2645"/>
      <c r="AE173" s="2645"/>
      <c r="AF173" s="2645"/>
      <c r="AG173" s="2645"/>
      <c r="AH173" s="2645"/>
      <c r="AI173" s="2645"/>
      <c r="AJ173" s="2645"/>
      <c r="AK173" s="2645"/>
      <c r="AL173" s="2645"/>
      <c r="AM173" s="2645"/>
      <c r="AN173" s="2645"/>
      <c r="AO173" s="2645"/>
      <c r="AP173" s="2847"/>
    </row>
    <row r="174" spans="1:42" s="3908" customFormat="1" ht="75" customHeight="1" x14ac:dyDescent="0.2">
      <c r="A174" s="3874"/>
      <c r="B174" s="3874"/>
      <c r="C174" s="3874"/>
      <c r="D174" s="3957"/>
      <c r="E174" s="3957"/>
      <c r="F174" s="3957"/>
      <c r="G174" s="3971"/>
      <c r="H174" s="3563"/>
      <c r="I174" s="2398"/>
      <c r="J174" s="3042"/>
      <c r="K174" s="3904"/>
      <c r="L174" s="2089" t="s">
        <v>2411</v>
      </c>
      <c r="M174" s="3101"/>
      <c r="N174" s="3157"/>
      <c r="O174" s="3972"/>
      <c r="P174" s="2668"/>
      <c r="Q174" s="2772"/>
      <c r="R174" s="2864"/>
      <c r="S174" s="2131" t="s">
        <v>1996</v>
      </c>
      <c r="T174" s="3902">
        <v>4500000</v>
      </c>
      <c r="U174" s="3958" t="s">
        <v>1791</v>
      </c>
      <c r="V174" s="3894" t="s">
        <v>1907</v>
      </c>
      <c r="W174" s="2645"/>
      <c r="X174" s="2645"/>
      <c r="Y174" s="2645"/>
      <c r="Z174" s="2645"/>
      <c r="AA174" s="2645"/>
      <c r="AB174" s="2645"/>
      <c r="AC174" s="2645"/>
      <c r="AD174" s="2645"/>
      <c r="AE174" s="2645"/>
      <c r="AF174" s="2645"/>
      <c r="AG174" s="2645"/>
      <c r="AH174" s="2645"/>
      <c r="AI174" s="2645"/>
      <c r="AJ174" s="2645"/>
      <c r="AK174" s="2645"/>
      <c r="AL174" s="2645"/>
      <c r="AM174" s="2645"/>
      <c r="AN174" s="2645"/>
      <c r="AO174" s="2645"/>
      <c r="AP174" s="2847"/>
    </row>
    <row r="175" spans="1:42" s="3908" customFormat="1" ht="52.5" customHeight="1" x14ac:dyDescent="0.2">
      <c r="A175" s="3874"/>
      <c r="B175" s="3874"/>
      <c r="C175" s="3874"/>
      <c r="D175" s="3957"/>
      <c r="E175" s="3957"/>
      <c r="F175" s="3957"/>
      <c r="G175" s="3973"/>
      <c r="H175" s="3207"/>
      <c r="I175" s="2819"/>
      <c r="J175" s="3043"/>
      <c r="K175" s="3904"/>
      <c r="L175" s="2089" t="s">
        <v>2412</v>
      </c>
      <c r="M175" s="3101"/>
      <c r="N175" s="3157"/>
      <c r="O175" s="3972"/>
      <c r="P175" s="2668"/>
      <c r="Q175" s="2772"/>
      <c r="R175" s="2864"/>
      <c r="S175" s="2131" t="s">
        <v>1997</v>
      </c>
      <c r="T175" s="3902">
        <v>12000000</v>
      </c>
      <c r="U175" s="3958" t="s">
        <v>1791</v>
      </c>
      <c r="V175" s="3894" t="s">
        <v>1907</v>
      </c>
      <c r="W175" s="2645"/>
      <c r="X175" s="2645"/>
      <c r="Y175" s="2645"/>
      <c r="Z175" s="2645"/>
      <c r="AA175" s="2645"/>
      <c r="AB175" s="2645"/>
      <c r="AC175" s="2645"/>
      <c r="AD175" s="2645"/>
      <c r="AE175" s="2645"/>
      <c r="AF175" s="2645"/>
      <c r="AG175" s="2645"/>
      <c r="AH175" s="2645"/>
      <c r="AI175" s="2645"/>
      <c r="AJ175" s="2645"/>
      <c r="AK175" s="2645"/>
      <c r="AL175" s="2645"/>
      <c r="AM175" s="2645"/>
      <c r="AN175" s="2645"/>
      <c r="AO175" s="2645"/>
      <c r="AP175" s="2847"/>
    </row>
    <row r="176" spans="1:42" s="3908" customFormat="1" ht="75.75" customHeight="1" x14ac:dyDescent="0.2">
      <c r="A176" s="3874"/>
      <c r="B176" s="3874"/>
      <c r="C176" s="3874"/>
      <c r="D176" s="3957"/>
      <c r="E176" s="3957"/>
      <c r="F176" s="3957"/>
      <c r="G176" s="2644" t="s">
        <v>52</v>
      </c>
      <c r="H176" s="2601">
        <v>12.22</v>
      </c>
      <c r="I176" s="2397" t="s">
        <v>1998</v>
      </c>
      <c r="J176" s="3041" t="s">
        <v>1999</v>
      </c>
      <c r="K176" s="3904">
        <v>1</v>
      </c>
      <c r="L176" s="2089"/>
      <c r="M176" s="3101"/>
      <c r="N176" s="3962"/>
      <c r="O176" s="2782">
        <f>SUM(T176:T182)/P167</f>
        <v>0.30204081632653063</v>
      </c>
      <c r="P176" s="2668"/>
      <c r="Q176" s="2772"/>
      <c r="R176" s="2864"/>
      <c r="S176" s="2131" t="s">
        <v>2000</v>
      </c>
      <c r="T176" s="3902">
        <v>5000000</v>
      </c>
      <c r="U176" s="3958" t="s">
        <v>1791</v>
      </c>
      <c r="V176" s="3894" t="s">
        <v>1907</v>
      </c>
      <c r="W176" s="2645"/>
      <c r="X176" s="2645"/>
      <c r="Y176" s="2645"/>
      <c r="Z176" s="2645"/>
      <c r="AA176" s="2645"/>
      <c r="AB176" s="2645"/>
      <c r="AC176" s="2645"/>
      <c r="AD176" s="2645"/>
      <c r="AE176" s="2645"/>
      <c r="AF176" s="2645"/>
      <c r="AG176" s="2645"/>
      <c r="AH176" s="2645"/>
      <c r="AI176" s="2645"/>
      <c r="AJ176" s="2645"/>
      <c r="AK176" s="2645"/>
      <c r="AL176" s="2645"/>
      <c r="AM176" s="2645"/>
      <c r="AN176" s="2645"/>
      <c r="AO176" s="2645"/>
      <c r="AP176" s="2847"/>
    </row>
    <row r="177" spans="1:42" s="3908" customFormat="1" ht="77.25" customHeight="1" x14ac:dyDescent="0.2">
      <c r="A177" s="3874"/>
      <c r="B177" s="3874"/>
      <c r="C177" s="3874"/>
      <c r="D177" s="3957"/>
      <c r="E177" s="3957"/>
      <c r="F177" s="3957"/>
      <c r="G177" s="2645"/>
      <c r="H177" s="2602"/>
      <c r="I177" s="2398"/>
      <c r="J177" s="3042"/>
      <c r="K177" s="3904"/>
      <c r="L177" s="2089"/>
      <c r="M177" s="3101"/>
      <c r="N177" s="3962"/>
      <c r="O177" s="2782"/>
      <c r="P177" s="2668"/>
      <c r="Q177" s="2772"/>
      <c r="R177" s="2864"/>
      <c r="S177" s="2131" t="s">
        <v>2001</v>
      </c>
      <c r="T177" s="3902">
        <v>10000000</v>
      </c>
      <c r="U177" s="3958" t="s">
        <v>1791</v>
      </c>
      <c r="V177" s="3894" t="s">
        <v>1907</v>
      </c>
      <c r="W177" s="2645"/>
      <c r="X177" s="2645"/>
      <c r="Y177" s="2645"/>
      <c r="Z177" s="2645"/>
      <c r="AA177" s="2645"/>
      <c r="AB177" s="2645"/>
      <c r="AC177" s="2645"/>
      <c r="AD177" s="2645"/>
      <c r="AE177" s="2645"/>
      <c r="AF177" s="2645"/>
      <c r="AG177" s="2645"/>
      <c r="AH177" s="2645"/>
      <c r="AI177" s="2645"/>
      <c r="AJ177" s="2645"/>
      <c r="AK177" s="2645"/>
      <c r="AL177" s="2645"/>
      <c r="AM177" s="2645"/>
      <c r="AN177" s="2645"/>
      <c r="AO177" s="2645"/>
      <c r="AP177" s="2847"/>
    </row>
    <row r="178" spans="1:42" s="3908" customFormat="1" ht="54" customHeight="1" x14ac:dyDescent="0.2">
      <c r="A178" s="3874"/>
      <c r="B178" s="3874"/>
      <c r="C178" s="3874"/>
      <c r="D178" s="3957"/>
      <c r="E178" s="3957"/>
      <c r="F178" s="3957"/>
      <c r="G178" s="2645"/>
      <c r="H178" s="2602"/>
      <c r="I178" s="2398"/>
      <c r="J178" s="3042"/>
      <c r="K178" s="3904"/>
      <c r="L178" s="2089"/>
      <c r="M178" s="3101"/>
      <c r="N178" s="3962"/>
      <c r="O178" s="2782"/>
      <c r="P178" s="2668"/>
      <c r="Q178" s="2772"/>
      <c r="R178" s="2864"/>
      <c r="S178" s="2131" t="s">
        <v>2002</v>
      </c>
      <c r="T178" s="3975">
        <v>5000000</v>
      </c>
      <c r="U178" s="3958" t="s">
        <v>1791</v>
      </c>
      <c r="V178" s="3897" t="s">
        <v>1907</v>
      </c>
      <c r="W178" s="2645"/>
      <c r="X178" s="2645"/>
      <c r="Y178" s="2645"/>
      <c r="Z178" s="2645"/>
      <c r="AA178" s="2645"/>
      <c r="AB178" s="2645"/>
      <c r="AC178" s="2645"/>
      <c r="AD178" s="2645"/>
      <c r="AE178" s="2645"/>
      <c r="AF178" s="2645"/>
      <c r="AG178" s="2645"/>
      <c r="AH178" s="2645"/>
      <c r="AI178" s="2645"/>
      <c r="AJ178" s="2645"/>
      <c r="AK178" s="2645"/>
      <c r="AL178" s="2645"/>
      <c r="AM178" s="2645"/>
      <c r="AN178" s="2645"/>
      <c r="AO178" s="2645"/>
      <c r="AP178" s="2847"/>
    </row>
    <row r="179" spans="1:42" s="3908" customFormat="1" ht="54" customHeight="1" x14ac:dyDescent="0.2">
      <c r="A179" s="3874"/>
      <c r="B179" s="3874"/>
      <c r="C179" s="3874"/>
      <c r="D179" s="3957"/>
      <c r="E179" s="3957"/>
      <c r="F179" s="3957"/>
      <c r="G179" s="2645"/>
      <c r="H179" s="2602"/>
      <c r="I179" s="2398"/>
      <c r="J179" s="3042"/>
      <c r="K179" s="3904"/>
      <c r="L179" s="2089"/>
      <c r="M179" s="3101"/>
      <c r="N179" s="3962"/>
      <c r="O179" s="2782"/>
      <c r="P179" s="2668"/>
      <c r="Q179" s="2772"/>
      <c r="R179" s="2864"/>
      <c r="S179" s="2131" t="s">
        <v>2003</v>
      </c>
      <c r="T179" s="3902">
        <v>5000000</v>
      </c>
      <c r="U179" s="3958" t="s">
        <v>1791</v>
      </c>
      <c r="V179" s="3894" t="s">
        <v>1907</v>
      </c>
      <c r="W179" s="2645"/>
      <c r="X179" s="2645"/>
      <c r="Y179" s="2645"/>
      <c r="Z179" s="2645"/>
      <c r="AA179" s="2645"/>
      <c r="AB179" s="2645"/>
      <c r="AC179" s="2645"/>
      <c r="AD179" s="2645"/>
      <c r="AE179" s="2645"/>
      <c r="AF179" s="2645"/>
      <c r="AG179" s="2645"/>
      <c r="AH179" s="2645"/>
      <c r="AI179" s="2645"/>
      <c r="AJ179" s="2645"/>
      <c r="AK179" s="2645"/>
      <c r="AL179" s="2645"/>
      <c r="AM179" s="2645"/>
      <c r="AN179" s="2645"/>
      <c r="AO179" s="2645"/>
      <c r="AP179" s="2847"/>
    </row>
    <row r="180" spans="1:42" s="3908" customFormat="1" ht="54" customHeight="1" x14ac:dyDescent="0.2">
      <c r="A180" s="3874"/>
      <c r="B180" s="3874"/>
      <c r="C180" s="3874"/>
      <c r="D180" s="3957"/>
      <c r="E180" s="3957"/>
      <c r="F180" s="3957"/>
      <c r="G180" s="2645"/>
      <c r="H180" s="2602"/>
      <c r="I180" s="2398"/>
      <c r="J180" s="3042"/>
      <c r="K180" s="3904"/>
      <c r="L180" s="2089"/>
      <c r="M180" s="3101"/>
      <c r="N180" s="3962"/>
      <c r="O180" s="2782"/>
      <c r="P180" s="2668"/>
      <c r="Q180" s="2772"/>
      <c r="R180" s="2864"/>
      <c r="S180" s="2012" t="s">
        <v>2004</v>
      </c>
      <c r="T180" s="3902">
        <v>5000000</v>
      </c>
      <c r="U180" s="3958" t="s">
        <v>1791</v>
      </c>
      <c r="V180" s="3936" t="s">
        <v>1907</v>
      </c>
      <c r="W180" s="2645"/>
      <c r="X180" s="2645"/>
      <c r="Y180" s="2645"/>
      <c r="Z180" s="2645"/>
      <c r="AA180" s="2645"/>
      <c r="AB180" s="2645"/>
      <c r="AC180" s="2645"/>
      <c r="AD180" s="2645"/>
      <c r="AE180" s="2645"/>
      <c r="AF180" s="2645"/>
      <c r="AG180" s="2645"/>
      <c r="AH180" s="2645"/>
      <c r="AI180" s="2645"/>
      <c r="AJ180" s="2645"/>
      <c r="AK180" s="2645"/>
      <c r="AL180" s="2645"/>
      <c r="AM180" s="2645"/>
      <c r="AN180" s="2645"/>
      <c r="AO180" s="2645"/>
      <c r="AP180" s="2847"/>
    </row>
    <row r="181" spans="1:42" s="3908" customFormat="1" ht="54" customHeight="1" x14ac:dyDescent="0.2">
      <c r="A181" s="3874"/>
      <c r="B181" s="3874"/>
      <c r="C181" s="3874"/>
      <c r="D181" s="3957"/>
      <c r="E181" s="3957"/>
      <c r="F181" s="3957"/>
      <c r="G181" s="2645"/>
      <c r="H181" s="2602"/>
      <c r="I181" s="2398"/>
      <c r="J181" s="3042"/>
      <c r="K181" s="3904"/>
      <c r="L181" s="2089"/>
      <c r="M181" s="3101"/>
      <c r="N181" s="3962"/>
      <c r="O181" s="2782"/>
      <c r="P181" s="2668"/>
      <c r="Q181" s="2772"/>
      <c r="R181" s="3385"/>
      <c r="S181" s="2103" t="s">
        <v>2005</v>
      </c>
      <c r="T181" s="3976">
        <v>2000000</v>
      </c>
      <c r="U181" s="2116">
        <v>61</v>
      </c>
      <c r="V181" s="3977" t="s">
        <v>1907</v>
      </c>
      <c r="W181" s="2645"/>
      <c r="X181" s="2645"/>
      <c r="Y181" s="2645"/>
      <c r="Z181" s="2645"/>
      <c r="AA181" s="2645"/>
      <c r="AB181" s="2645"/>
      <c r="AC181" s="2645"/>
      <c r="AD181" s="2645"/>
      <c r="AE181" s="2645"/>
      <c r="AF181" s="2645"/>
      <c r="AG181" s="2645"/>
      <c r="AH181" s="2645"/>
      <c r="AI181" s="2645"/>
      <c r="AJ181" s="2645"/>
      <c r="AK181" s="2645"/>
      <c r="AL181" s="2645"/>
      <c r="AM181" s="2645"/>
      <c r="AN181" s="2645"/>
      <c r="AO181" s="2645"/>
      <c r="AP181" s="2847"/>
    </row>
    <row r="182" spans="1:42" s="3908" customFormat="1" ht="54" customHeight="1" x14ac:dyDescent="0.2">
      <c r="A182" s="3874"/>
      <c r="B182" s="3874"/>
      <c r="C182" s="3874"/>
      <c r="D182" s="3957"/>
      <c r="E182" s="3957"/>
      <c r="F182" s="3957"/>
      <c r="G182" s="2646"/>
      <c r="H182" s="2603"/>
      <c r="I182" s="2819"/>
      <c r="J182" s="3043"/>
      <c r="K182" s="3904"/>
      <c r="L182" s="2142"/>
      <c r="M182" s="3101"/>
      <c r="N182" s="3962"/>
      <c r="O182" s="2782"/>
      <c r="P182" s="2668"/>
      <c r="Q182" s="2772"/>
      <c r="R182" s="3385"/>
      <c r="S182" s="2103" t="s">
        <v>1991</v>
      </c>
      <c r="T182" s="3978">
        <v>5000000</v>
      </c>
      <c r="U182" s="2116">
        <v>61</v>
      </c>
      <c r="V182" s="3977" t="s">
        <v>1907</v>
      </c>
      <c r="W182" s="2646"/>
      <c r="X182" s="2646"/>
      <c r="Y182" s="2646"/>
      <c r="Z182" s="2646"/>
      <c r="AA182" s="2646"/>
      <c r="AB182" s="2646"/>
      <c r="AC182" s="2646"/>
      <c r="AD182" s="2646"/>
      <c r="AE182" s="2646"/>
      <c r="AF182" s="2646"/>
      <c r="AG182" s="2646"/>
      <c r="AH182" s="2646"/>
      <c r="AI182" s="2646"/>
      <c r="AJ182" s="2646"/>
      <c r="AK182" s="2646"/>
      <c r="AL182" s="2646"/>
      <c r="AM182" s="2646"/>
      <c r="AN182" s="2646"/>
      <c r="AO182" s="2646"/>
      <c r="AP182" s="2848"/>
    </row>
    <row r="183" spans="1:42" s="3908" customFormat="1" ht="104.25" customHeight="1" x14ac:dyDescent="0.2">
      <c r="A183" s="3874"/>
      <c r="B183" s="3874"/>
      <c r="C183" s="3874"/>
      <c r="D183" s="3957"/>
      <c r="E183" s="3957"/>
      <c r="F183" s="3957"/>
      <c r="G183" s="2644">
        <v>1905023</v>
      </c>
      <c r="H183" s="2601">
        <v>12.8</v>
      </c>
      <c r="I183" s="2397" t="s">
        <v>2006</v>
      </c>
      <c r="J183" s="3041" t="s">
        <v>2007</v>
      </c>
      <c r="K183" s="3904">
        <v>12</v>
      </c>
      <c r="L183" s="2097"/>
      <c r="M183" s="2603" t="s">
        <v>2008</v>
      </c>
      <c r="N183" s="2819" t="s">
        <v>2009</v>
      </c>
      <c r="O183" s="3979">
        <f>SUM(T183:T187)/P183</f>
        <v>0.65088757396449703</v>
      </c>
      <c r="P183" s="3980">
        <f>SUM(T183:T193)</f>
        <v>169000000</v>
      </c>
      <c r="Q183" s="2819" t="s">
        <v>2010</v>
      </c>
      <c r="R183" s="2878" t="s">
        <v>2011</v>
      </c>
      <c r="S183" s="2108" t="s">
        <v>2012</v>
      </c>
      <c r="T183" s="3981">
        <f>4000000+18000000</f>
        <v>22000000</v>
      </c>
      <c r="U183" s="3958" t="s">
        <v>1791</v>
      </c>
      <c r="V183" s="3897" t="s">
        <v>2013</v>
      </c>
      <c r="W183" s="2644">
        <v>289394</v>
      </c>
      <c r="X183" s="2644">
        <v>279112</v>
      </c>
      <c r="Y183" s="2644">
        <v>63164</v>
      </c>
      <c r="Z183" s="2644">
        <v>45607</v>
      </c>
      <c r="AA183" s="2644">
        <v>365607</v>
      </c>
      <c r="AB183" s="2644">
        <f>SUM(AA183*0.1)</f>
        <v>36560.700000000004</v>
      </c>
      <c r="AC183" s="2644">
        <v>75612</v>
      </c>
      <c r="AD183" s="2644">
        <v>2145</v>
      </c>
      <c r="AE183" s="2644">
        <v>12718</v>
      </c>
      <c r="AF183" s="2644">
        <v>26</v>
      </c>
      <c r="AG183" s="2644">
        <v>37</v>
      </c>
      <c r="AH183" s="2644">
        <v>0</v>
      </c>
      <c r="AI183" s="2644">
        <v>0</v>
      </c>
      <c r="AJ183" s="2644">
        <v>78</v>
      </c>
      <c r="AK183" s="2644">
        <v>16897</v>
      </c>
      <c r="AL183" s="2644">
        <v>852</v>
      </c>
      <c r="AM183" s="2644">
        <v>568506</v>
      </c>
      <c r="AN183" s="3939">
        <v>43832</v>
      </c>
      <c r="AO183" s="3939">
        <v>44196</v>
      </c>
      <c r="AP183" s="2846" t="s">
        <v>1739</v>
      </c>
    </row>
    <row r="184" spans="1:42" s="3908" customFormat="1" ht="84.75" customHeight="1" x14ac:dyDescent="0.2">
      <c r="A184" s="3874"/>
      <c r="B184" s="3874"/>
      <c r="C184" s="3874"/>
      <c r="D184" s="3957"/>
      <c r="E184" s="3957"/>
      <c r="F184" s="3957"/>
      <c r="G184" s="2645"/>
      <c r="H184" s="2602"/>
      <c r="I184" s="2398"/>
      <c r="J184" s="3042"/>
      <c r="K184" s="3904"/>
      <c r="L184" s="2097"/>
      <c r="M184" s="2603"/>
      <c r="N184" s="2819"/>
      <c r="O184" s="2625"/>
      <c r="P184" s="3980"/>
      <c r="Q184" s="2819"/>
      <c r="R184" s="2878"/>
      <c r="S184" s="2115" t="s">
        <v>2014</v>
      </c>
      <c r="T184" s="3981">
        <f>5000000+17000000</f>
        <v>22000000</v>
      </c>
      <c r="U184" s="3958" t="s">
        <v>1791</v>
      </c>
      <c r="V184" s="3897" t="s">
        <v>2013</v>
      </c>
      <c r="W184" s="2645"/>
      <c r="X184" s="2645"/>
      <c r="Y184" s="2645"/>
      <c r="Z184" s="2645"/>
      <c r="AA184" s="2645"/>
      <c r="AB184" s="2645"/>
      <c r="AC184" s="2645"/>
      <c r="AD184" s="2645"/>
      <c r="AE184" s="2645"/>
      <c r="AF184" s="2645"/>
      <c r="AG184" s="2645"/>
      <c r="AH184" s="2645"/>
      <c r="AI184" s="2645"/>
      <c r="AJ184" s="2645"/>
      <c r="AK184" s="2645"/>
      <c r="AL184" s="2645"/>
      <c r="AM184" s="2645"/>
      <c r="AN184" s="2645"/>
      <c r="AO184" s="2645"/>
      <c r="AP184" s="2847"/>
    </row>
    <row r="185" spans="1:42" s="3908" customFormat="1" ht="84.75" customHeight="1" x14ac:dyDescent="0.2">
      <c r="A185" s="3874"/>
      <c r="B185" s="3874"/>
      <c r="C185" s="3874"/>
      <c r="D185" s="3957"/>
      <c r="E185" s="3957"/>
      <c r="F185" s="3957"/>
      <c r="G185" s="2645"/>
      <c r="H185" s="2602"/>
      <c r="I185" s="2398"/>
      <c r="J185" s="3042"/>
      <c r="K185" s="3904"/>
      <c r="L185" s="2097"/>
      <c r="M185" s="2603"/>
      <c r="N185" s="2819"/>
      <c r="O185" s="2625"/>
      <c r="P185" s="3980"/>
      <c r="Q185" s="2819"/>
      <c r="R185" s="2878"/>
      <c r="S185" s="2115" t="s">
        <v>2015</v>
      </c>
      <c r="T185" s="3981">
        <f>3000000+19000000</f>
        <v>22000000</v>
      </c>
      <c r="U185" s="3958" t="s">
        <v>1791</v>
      </c>
      <c r="V185" s="3897" t="s">
        <v>2013</v>
      </c>
      <c r="W185" s="2645"/>
      <c r="X185" s="2645"/>
      <c r="Y185" s="2645"/>
      <c r="Z185" s="2645"/>
      <c r="AA185" s="2645"/>
      <c r="AB185" s="2645"/>
      <c r="AC185" s="2645"/>
      <c r="AD185" s="2645"/>
      <c r="AE185" s="2645"/>
      <c r="AF185" s="2645"/>
      <c r="AG185" s="2645"/>
      <c r="AH185" s="2645"/>
      <c r="AI185" s="2645"/>
      <c r="AJ185" s="2645"/>
      <c r="AK185" s="2645"/>
      <c r="AL185" s="2645"/>
      <c r="AM185" s="2645"/>
      <c r="AN185" s="2645"/>
      <c r="AO185" s="2645"/>
      <c r="AP185" s="2847"/>
    </row>
    <row r="186" spans="1:42" s="3908" customFormat="1" ht="72.75" customHeight="1" x14ac:dyDescent="0.2">
      <c r="A186" s="3874"/>
      <c r="B186" s="3874"/>
      <c r="C186" s="3874"/>
      <c r="D186" s="3957"/>
      <c r="E186" s="3957"/>
      <c r="F186" s="3957"/>
      <c r="G186" s="2645"/>
      <c r="H186" s="2602"/>
      <c r="I186" s="2398"/>
      <c r="J186" s="3042"/>
      <c r="K186" s="3904"/>
      <c r="L186" s="2097"/>
      <c r="M186" s="2603"/>
      <c r="N186" s="2819"/>
      <c r="O186" s="2625"/>
      <c r="P186" s="3980"/>
      <c r="Q186" s="2819"/>
      <c r="R186" s="2878"/>
      <c r="S186" s="2115" t="s">
        <v>2016</v>
      </c>
      <c r="T186" s="3981">
        <v>22000000</v>
      </c>
      <c r="U186" s="3958" t="s">
        <v>1791</v>
      </c>
      <c r="V186" s="3897" t="s">
        <v>2013</v>
      </c>
      <c r="W186" s="2645"/>
      <c r="X186" s="2645"/>
      <c r="Y186" s="2645"/>
      <c r="Z186" s="2645"/>
      <c r="AA186" s="2645"/>
      <c r="AB186" s="2645"/>
      <c r="AC186" s="2645"/>
      <c r="AD186" s="2645"/>
      <c r="AE186" s="2645"/>
      <c r="AF186" s="2645"/>
      <c r="AG186" s="2645"/>
      <c r="AH186" s="2645"/>
      <c r="AI186" s="2645"/>
      <c r="AJ186" s="2645"/>
      <c r="AK186" s="2645"/>
      <c r="AL186" s="2645"/>
      <c r="AM186" s="2645"/>
      <c r="AN186" s="2645"/>
      <c r="AO186" s="2645"/>
      <c r="AP186" s="2847"/>
    </row>
    <row r="187" spans="1:42" s="3908" customFormat="1" ht="104.25" customHeight="1" x14ac:dyDescent="0.2">
      <c r="A187" s="3874"/>
      <c r="B187" s="3874"/>
      <c r="C187" s="3874"/>
      <c r="D187" s="3957"/>
      <c r="E187" s="3957"/>
      <c r="F187" s="3957"/>
      <c r="G187" s="2646"/>
      <c r="H187" s="2603"/>
      <c r="I187" s="2819"/>
      <c r="J187" s="3043"/>
      <c r="K187" s="3904"/>
      <c r="L187" s="2097" t="s">
        <v>2413</v>
      </c>
      <c r="M187" s="2603"/>
      <c r="N187" s="2819"/>
      <c r="O187" s="2660"/>
      <c r="P187" s="3980"/>
      <c r="Q187" s="2819"/>
      <c r="R187" s="2878"/>
      <c r="S187" s="2115" t="s">
        <v>2017</v>
      </c>
      <c r="T187" s="3981">
        <f>4333333+17666667</f>
        <v>22000000</v>
      </c>
      <c r="U187" s="3958" t="s">
        <v>1791</v>
      </c>
      <c r="V187" s="3897" t="s">
        <v>2013</v>
      </c>
      <c r="W187" s="2645"/>
      <c r="X187" s="2645"/>
      <c r="Y187" s="2645"/>
      <c r="Z187" s="2645"/>
      <c r="AA187" s="2645"/>
      <c r="AB187" s="2645"/>
      <c r="AC187" s="2645"/>
      <c r="AD187" s="2645"/>
      <c r="AE187" s="2645"/>
      <c r="AF187" s="2645"/>
      <c r="AG187" s="2645"/>
      <c r="AH187" s="2645"/>
      <c r="AI187" s="2645"/>
      <c r="AJ187" s="2645"/>
      <c r="AK187" s="2645"/>
      <c r="AL187" s="2645"/>
      <c r="AM187" s="2645"/>
      <c r="AN187" s="2645"/>
      <c r="AO187" s="2645"/>
      <c r="AP187" s="2847"/>
    </row>
    <row r="188" spans="1:42" s="3908" customFormat="1" ht="84" customHeight="1" x14ac:dyDescent="0.2">
      <c r="A188" s="3874"/>
      <c r="B188" s="3874"/>
      <c r="C188" s="3874"/>
      <c r="D188" s="3957"/>
      <c r="E188" s="3957"/>
      <c r="F188" s="3957"/>
      <c r="G188" s="2644">
        <v>1905031</v>
      </c>
      <c r="H188" s="2601">
        <v>12.14</v>
      </c>
      <c r="I188" s="2397" t="s">
        <v>1914</v>
      </c>
      <c r="J188" s="3041" t="s">
        <v>1915</v>
      </c>
      <c r="K188" s="3904">
        <v>12</v>
      </c>
      <c r="L188" s="2097" t="s">
        <v>2414</v>
      </c>
      <c r="M188" s="2603"/>
      <c r="N188" s="2819"/>
      <c r="O188" s="2624">
        <f>SUM(T188:T193)/P183</f>
        <v>0.34911242603550297</v>
      </c>
      <c r="P188" s="3980"/>
      <c r="Q188" s="2819"/>
      <c r="R188" s="2878"/>
      <c r="S188" s="2115" t="s">
        <v>2018</v>
      </c>
      <c r="T188" s="3981">
        <v>10000000</v>
      </c>
      <c r="U188" s="3958" t="s">
        <v>1791</v>
      </c>
      <c r="V188" s="3897" t="s">
        <v>2013</v>
      </c>
      <c r="W188" s="2645"/>
      <c r="X188" s="2645"/>
      <c r="Y188" s="2645"/>
      <c r="Z188" s="2645"/>
      <c r="AA188" s="2645"/>
      <c r="AB188" s="2645"/>
      <c r="AC188" s="2645"/>
      <c r="AD188" s="2645"/>
      <c r="AE188" s="2645"/>
      <c r="AF188" s="2645"/>
      <c r="AG188" s="2645"/>
      <c r="AH188" s="2645"/>
      <c r="AI188" s="2645"/>
      <c r="AJ188" s="2645"/>
      <c r="AK188" s="2645"/>
      <c r="AL188" s="2645"/>
      <c r="AM188" s="2645"/>
      <c r="AN188" s="2645"/>
      <c r="AO188" s="2645"/>
      <c r="AP188" s="2847"/>
    </row>
    <row r="189" spans="1:42" s="3908" customFormat="1" ht="84" customHeight="1" x14ac:dyDescent="0.2">
      <c r="A189" s="3874"/>
      <c r="B189" s="3874"/>
      <c r="C189" s="3874"/>
      <c r="D189" s="3957"/>
      <c r="E189" s="3957"/>
      <c r="F189" s="3957"/>
      <c r="G189" s="2645"/>
      <c r="H189" s="2602"/>
      <c r="I189" s="2398"/>
      <c r="J189" s="3042"/>
      <c r="K189" s="3904"/>
      <c r="L189" s="2097"/>
      <c r="M189" s="2603"/>
      <c r="N189" s="2819"/>
      <c r="O189" s="2625"/>
      <c r="P189" s="3980"/>
      <c r="Q189" s="2819"/>
      <c r="R189" s="2878"/>
      <c r="S189" s="2115" t="s">
        <v>2014</v>
      </c>
      <c r="T189" s="3981">
        <v>10000000</v>
      </c>
      <c r="U189" s="3958" t="s">
        <v>1791</v>
      </c>
      <c r="V189" s="3897" t="s">
        <v>2013</v>
      </c>
      <c r="W189" s="2645"/>
      <c r="X189" s="2645"/>
      <c r="Y189" s="2645"/>
      <c r="Z189" s="2645"/>
      <c r="AA189" s="2645"/>
      <c r="AB189" s="2645"/>
      <c r="AC189" s="2645"/>
      <c r="AD189" s="2645"/>
      <c r="AE189" s="2645"/>
      <c r="AF189" s="2645"/>
      <c r="AG189" s="2645"/>
      <c r="AH189" s="2645"/>
      <c r="AI189" s="2645"/>
      <c r="AJ189" s="2645"/>
      <c r="AK189" s="2645"/>
      <c r="AL189" s="2645"/>
      <c r="AM189" s="2645"/>
      <c r="AN189" s="2645"/>
      <c r="AO189" s="2645"/>
      <c r="AP189" s="2847"/>
    </row>
    <row r="190" spans="1:42" s="3908" customFormat="1" ht="84" customHeight="1" x14ac:dyDescent="0.2">
      <c r="A190" s="3874"/>
      <c r="B190" s="3874"/>
      <c r="C190" s="3874"/>
      <c r="D190" s="3957"/>
      <c r="E190" s="3957"/>
      <c r="F190" s="3957"/>
      <c r="G190" s="2645"/>
      <c r="H190" s="2602"/>
      <c r="I190" s="2398"/>
      <c r="J190" s="3042"/>
      <c r="K190" s="3904"/>
      <c r="L190" s="2097"/>
      <c r="M190" s="2603"/>
      <c r="N190" s="2819"/>
      <c r="O190" s="2625"/>
      <c r="P190" s="3980"/>
      <c r="Q190" s="2819"/>
      <c r="R190" s="2878"/>
      <c r="S190" s="2115" t="s">
        <v>2019</v>
      </c>
      <c r="T190" s="3981">
        <v>10000000</v>
      </c>
      <c r="U190" s="3958" t="s">
        <v>1791</v>
      </c>
      <c r="V190" s="3897" t="s">
        <v>2013</v>
      </c>
      <c r="W190" s="2645"/>
      <c r="X190" s="2645"/>
      <c r="Y190" s="2645"/>
      <c r="Z190" s="2645"/>
      <c r="AA190" s="2645"/>
      <c r="AB190" s="2645"/>
      <c r="AC190" s="2645"/>
      <c r="AD190" s="2645"/>
      <c r="AE190" s="2645"/>
      <c r="AF190" s="2645"/>
      <c r="AG190" s="2645"/>
      <c r="AH190" s="2645"/>
      <c r="AI190" s="2645"/>
      <c r="AJ190" s="2645"/>
      <c r="AK190" s="2645"/>
      <c r="AL190" s="2645"/>
      <c r="AM190" s="2645"/>
      <c r="AN190" s="2645"/>
      <c r="AO190" s="2645"/>
      <c r="AP190" s="2847"/>
    </row>
    <row r="191" spans="1:42" s="3908" customFormat="1" ht="84" customHeight="1" x14ac:dyDescent="0.2">
      <c r="A191" s="3874"/>
      <c r="B191" s="3874"/>
      <c r="C191" s="3874"/>
      <c r="D191" s="3957"/>
      <c r="E191" s="3957"/>
      <c r="F191" s="3957"/>
      <c r="G191" s="2645"/>
      <c r="H191" s="2602"/>
      <c r="I191" s="2398"/>
      <c r="J191" s="3042"/>
      <c r="K191" s="3904"/>
      <c r="L191" s="2097"/>
      <c r="M191" s="2603"/>
      <c r="N191" s="2819"/>
      <c r="O191" s="2625"/>
      <c r="P191" s="3980"/>
      <c r="Q191" s="2819"/>
      <c r="R191" s="2878"/>
      <c r="S191" s="2115" t="s">
        <v>2017</v>
      </c>
      <c r="T191" s="3981">
        <v>10000000</v>
      </c>
      <c r="U191" s="3958" t="s">
        <v>1791</v>
      </c>
      <c r="V191" s="3897" t="s">
        <v>2013</v>
      </c>
      <c r="W191" s="2645"/>
      <c r="X191" s="2645"/>
      <c r="Y191" s="2645"/>
      <c r="Z191" s="2645"/>
      <c r="AA191" s="2645"/>
      <c r="AB191" s="2645"/>
      <c r="AC191" s="2645"/>
      <c r="AD191" s="2645"/>
      <c r="AE191" s="2645"/>
      <c r="AF191" s="2645"/>
      <c r="AG191" s="2645"/>
      <c r="AH191" s="2645"/>
      <c r="AI191" s="2645"/>
      <c r="AJ191" s="2645"/>
      <c r="AK191" s="2645"/>
      <c r="AL191" s="2645"/>
      <c r="AM191" s="2645"/>
      <c r="AN191" s="2645"/>
      <c r="AO191" s="2645"/>
      <c r="AP191" s="2847"/>
    </row>
    <row r="192" spans="1:42" s="3908" customFormat="1" ht="84" customHeight="1" x14ac:dyDescent="0.2">
      <c r="A192" s="3874"/>
      <c r="B192" s="3874"/>
      <c r="C192" s="3874"/>
      <c r="D192" s="3957"/>
      <c r="E192" s="3957"/>
      <c r="F192" s="3957"/>
      <c r="G192" s="2645"/>
      <c r="H192" s="2602"/>
      <c r="I192" s="2398"/>
      <c r="J192" s="3042"/>
      <c r="K192" s="3904"/>
      <c r="L192" s="2097"/>
      <c r="M192" s="2603"/>
      <c r="N192" s="2819"/>
      <c r="O192" s="2625"/>
      <c r="P192" s="3980"/>
      <c r="Q192" s="2819"/>
      <c r="R192" s="2878"/>
      <c r="S192" s="2115" t="s">
        <v>2020</v>
      </c>
      <c r="T192" s="3981">
        <v>10000000</v>
      </c>
      <c r="U192" s="3958" t="s">
        <v>1791</v>
      </c>
      <c r="V192" s="3897" t="s">
        <v>2013</v>
      </c>
      <c r="W192" s="2645"/>
      <c r="X192" s="2645"/>
      <c r="Y192" s="2645"/>
      <c r="Z192" s="2645"/>
      <c r="AA192" s="2645"/>
      <c r="AB192" s="2645"/>
      <c r="AC192" s="2645"/>
      <c r="AD192" s="2645"/>
      <c r="AE192" s="2645"/>
      <c r="AF192" s="2645"/>
      <c r="AG192" s="2645"/>
      <c r="AH192" s="2645"/>
      <c r="AI192" s="2645"/>
      <c r="AJ192" s="2645"/>
      <c r="AK192" s="2645"/>
      <c r="AL192" s="2645"/>
      <c r="AM192" s="2645"/>
      <c r="AN192" s="2645"/>
      <c r="AO192" s="2645"/>
      <c r="AP192" s="2847"/>
    </row>
    <row r="193" spans="1:42" s="3908" customFormat="1" ht="84" customHeight="1" x14ac:dyDescent="0.2">
      <c r="A193" s="3874"/>
      <c r="B193" s="3874"/>
      <c r="C193" s="3874"/>
      <c r="D193" s="3957"/>
      <c r="E193" s="3957"/>
      <c r="F193" s="3957"/>
      <c r="G193" s="2645"/>
      <c r="H193" s="2602"/>
      <c r="I193" s="2398"/>
      <c r="J193" s="3042"/>
      <c r="K193" s="3904"/>
      <c r="L193" s="2097"/>
      <c r="M193" s="2601"/>
      <c r="N193" s="3017"/>
      <c r="O193" s="2660"/>
      <c r="P193" s="3101"/>
      <c r="Q193" s="3017"/>
      <c r="R193" s="2879"/>
      <c r="S193" s="2115" t="s">
        <v>2021</v>
      </c>
      <c r="T193" s="3982">
        <f>10000000-1000000</f>
        <v>9000000</v>
      </c>
      <c r="U193" s="3958" t="s">
        <v>1791</v>
      </c>
      <c r="V193" s="3936" t="s">
        <v>2013</v>
      </c>
      <c r="W193" s="2646"/>
      <c r="X193" s="2646"/>
      <c r="Y193" s="2646"/>
      <c r="Z193" s="2646"/>
      <c r="AA193" s="2646"/>
      <c r="AB193" s="2646"/>
      <c r="AC193" s="2646"/>
      <c r="AD193" s="2646"/>
      <c r="AE193" s="2646"/>
      <c r="AF193" s="2646"/>
      <c r="AG193" s="2646"/>
      <c r="AH193" s="2646"/>
      <c r="AI193" s="2646"/>
      <c r="AJ193" s="2646"/>
      <c r="AK193" s="2646"/>
      <c r="AL193" s="2646"/>
      <c r="AM193" s="2646"/>
      <c r="AN193" s="2646"/>
      <c r="AO193" s="2646"/>
      <c r="AP193" s="2848"/>
    </row>
    <row r="194" spans="1:42" s="3908" customFormat="1" ht="48.75" customHeight="1" x14ac:dyDescent="0.2">
      <c r="A194" s="3874"/>
      <c r="B194" s="3874"/>
      <c r="C194" s="3874"/>
      <c r="D194" s="3957"/>
      <c r="E194" s="3957"/>
      <c r="F194" s="3957"/>
      <c r="G194" s="3564">
        <v>1905012</v>
      </c>
      <c r="H194" s="3610">
        <v>12.1</v>
      </c>
      <c r="I194" s="2772" t="s">
        <v>2022</v>
      </c>
      <c r="J194" s="3962" t="s">
        <v>2022</v>
      </c>
      <c r="K194" s="3904">
        <v>1</v>
      </c>
      <c r="L194" s="3913"/>
      <c r="M194" s="2668" t="s">
        <v>2023</v>
      </c>
      <c r="N194" s="3608" t="s">
        <v>2024</v>
      </c>
      <c r="O194" s="2624">
        <f>SUM(T194:T198)/P194</f>
        <v>0.16666666666666666</v>
      </c>
      <c r="P194" s="3568">
        <f>SUM(T194:T215)</f>
        <v>120000000</v>
      </c>
      <c r="Q194" s="3017" t="s">
        <v>2025</v>
      </c>
      <c r="R194" s="2982" t="s">
        <v>2026</v>
      </c>
      <c r="S194" s="2101" t="s">
        <v>2027</v>
      </c>
      <c r="T194" s="3893">
        <v>1000000</v>
      </c>
      <c r="U194" s="3958" t="s">
        <v>1791</v>
      </c>
      <c r="V194" s="3894" t="s">
        <v>2013</v>
      </c>
      <c r="W194" s="2644">
        <v>289394</v>
      </c>
      <c r="X194" s="2644">
        <v>279112</v>
      </c>
      <c r="Y194" s="2644">
        <v>63164</v>
      </c>
      <c r="Z194" s="2644">
        <v>45607</v>
      </c>
      <c r="AA194" s="2644">
        <v>365607</v>
      </c>
      <c r="AB194" s="2644">
        <f>SUM(AA194*0.32)</f>
        <v>116994.24000000001</v>
      </c>
      <c r="AC194" s="2644">
        <v>75612</v>
      </c>
      <c r="AD194" s="2644">
        <v>2145</v>
      </c>
      <c r="AE194" s="2644">
        <v>12718</v>
      </c>
      <c r="AF194" s="2644">
        <v>26</v>
      </c>
      <c r="AG194" s="2644">
        <v>37</v>
      </c>
      <c r="AH194" s="2644">
        <v>0</v>
      </c>
      <c r="AI194" s="2644">
        <v>0</v>
      </c>
      <c r="AJ194" s="2644">
        <v>78</v>
      </c>
      <c r="AK194" s="2644">
        <v>16897</v>
      </c>
      <c r="AL194" s="2644">
        <v>852</v>
      </c>
      <c r="AM194" s="2644">
        <v>568506</v>
      </c>
      <c r="AN194" s="3939">
        <v>43832</v>
      </c>
      <c r="AO194" s="3939">
        <v>44196</v>
      </c>
      <c r="AP194" s="2846" t="s">
        <v>1739</v>
      </c>
    </row>
    <row r="195" spans="1:42" s="3908" customFormat="1" ht="48.75" customHeight="1" x14ac:dyDescent="0.2">
      <c r="A195" s="3874"/>
      <c r="B195" s="3874"/>
      <c r="C195" s="3874"/>
      <c r="D195" s="3957"/>
      <c r="E195" s="3957"/>
      <c r="F195" s="3957"/>
      <c r="G195" s="3564"/>
      <c r="H195" s="3610"/>
      <c r="I195" s="2772"/>
      <c r="J195" s="3962"/>
      <c r="K195" s="3904"/>
      <c r="L195" s="2134"/>
      <c r="M195" s="2668"/>
      <c r="N195" s="3608"/>
      <c r="O195" s="2625"/>
      <c r="P195" s="3568"/>
      <c r="Q195" s="3017"/>
      <c r="R195" s="2878"/>
      <c r="S195" s="2101" t="s">
        <v>2028</v>
      </c>
      <c r="T195" s="3893">
        <v>1000000</v>
      </c>
      <c r="U195" s="3958" t="s">
        <v>1791</v>
      </c>
      <c r="V195" s="3894" t="s">
        <v>2013</v>
      </c>
      <c r="W195" s="2645"/>
      <c r="X195" s="2645"/>
      <c r="Y195" s="2645"/>
      <c r="Z195" s="2645"/>
      <c r="AA195" s="2645"/>
      <c r="AB195" s="2645"/>
      <c r="AC195" s="2645"/>
      <c r="AD195" s="2645"/>
      <c r="AE195" s="2645"/>
      <c r="AF195" s="2645"/>
      <c r="AG195" s="2645"/>
      <c r="AH195" s="2645"/>
      <c r="AI195" s="2645"/>
      <c r="AJ195" s="2645"/>
      <c r="AK195" s="2645"/>
      <c r="AL195" s="2645"/>
      <c r="AM195" s="2645"/>
      <c r="AN195" s="2645"/>
      <c r="AO195" s="2645"/>
      <c r="AP195" s="2847"/>
    </row>
    <row r="196" spans="1:42" s="3908" customFormat="1" ht="48.75" customHeight="1" x14ac:dyDescent="0.2">
      <c r="A196" s="3874"/>
      <c r="B196" s="3874"/>
      <c r="C196" s="3874"/>
      <c r="D196" s="3957"/>
      <c r="E196" s="3957"/>
      <c r="F196" s="3957"/>
      <c r="G196" s="3564"/>
      <c r="H196" s="3610"/>
      <c r="I196" s="2772"/>
      <c r="J196" s="3962"/>
      <c r="K196" s="3904"/>
      <c r="L196" s="2134"/>
      <c r="M196" s="2668"/>
      <c r="N196" s="3608"/>
      <c r="O196" s="2625"/>
      <c r="P196" s="3568"/>
      <c r="Q196" s="3017"/>
      <c r="R196" s="2878"/>
      <c r="S196" s="2101" t="s">
        <v>2029</v>
      </c>
      <c r="T196" s="3893">
        <v>2000000</v>
      </c>
      <c r="U196" s="3958" t="s">
        <v>1791</v>
      </c>
      <c r="V196" s="3894" t="s">
        <v>2013</v>
      </c>
      <c r="W196" s="2645"/>
      <c r="X196" s="2645"/>
      <c r="Y196" s="2645"/>
      <c r="Z196" s="2645"/>
      <c r="AA196" s="2645"/>
      <c r="AB196" s="2645"/>
      <c r="AC196" s="2645"/>
      <c r="AD196" s="2645"/>
      <c r="AE196" s="2645"/>
      <c r="AF196" s="2645"/>
      <c r="AG196" s="2645"/>
      <c r="AH196" s="2645"/>
      <c r="AI196" s="2645"/>
      <c r="AJ196" s="2645"/>
      <c r="AK196" s="2645"/>
      <c r="AL196" s="2645"/>
      <c r="AM196" s="2645"/>
      <c r="AN196" s="2645"/>
      <c r="AO196" s="2645"/>
      <c r="AP196" s="2847"/>
    </row>
    <row r="197" spans="1:42" s="3908" customFormat="1" ht="48.75" customHeight="1" x14ac:dyDescent="0.2">
      <c r="A197" s="3874"/>
      <c r="B197" s="3874"/>
      <c r="C197" s="3874"/>
      <c r="D197" s="3957"/>
      <c r="E197" s="3957"/>
      <c r="F197" s="3957"/>
      <c r="G197" s="3564"/>
      <c r="H197" s="3610"/>
      <c r="I197" s="2772"/>
      <c r="J197" s="3962"/>
      <c r="K197" s="3904"/>
      <c r="L197" s="2134"/>
      <c r="M197" s="2668"/>
      <c r="N197" s="3608"/>
      <c r="O197" s="2625"/>
      <c r="P197" s="3568"/>
      <c r="Q197" s="3017"/>
      <c r="R197" s="2878"/>
      <c r="S197" s="2101" t="s">
        <v>2030</v>
      </c>
      <c r="T197" s="3893">
        <v>14000000</v>
      </c>
      <c r="U197" s="3958" t="s">
        <v>1791</v>
      </c>
      <c r="V197" s="3894" t="s">
        <v>2013</v>
      </c>
      <c r="W197" s="2645"/>
      <c r="X197" s="2645"/>
      <c r="Y197" s="2645"/>
      <c r="Z197" s="2645"/>
      <c r="AA197" s="2645"/>
      <c r="AB197" s="2645"/>
      <c r="AC197" s="2645"/>
      <c r="AD197" s="2645"/>
      <c r="AE197" s="2645"/>
      <c r="AF197" s="2645"/>
      <c r="AG197" s="2645"/>
      <c r="AH197" s="2645"/>
      <c r="AI197" s="2645"/>
      <c r="AJ197" s="2645"/>
      <c r="AK197" s="2645"/>
      <c r="AL197" s="2645"/>
      <c r="AM197" s="2645"/>
      <c r="AN197" s="2645"/>
      <c r="AO197" s="2645"/>
      <c r="AP197" s="2847"/>
    </row>
    <row r="198" spans="1:42" s="3908" customFormat="1" ht="48.75" customHeight="1" x14ac:dyDescent="0.2">
      <c r="A198" s="3874"/>
      <c r="B198" s="3874"/>
      <c r="C198" s="3874"/>
      <c r="D198" s="3957"/>
      <c r="E198" s="3957"/>
      <c r="F198" s="3957"/>
      <c r="G198" s="3564"/>
      <c r="H198" s="3610"/>
      <c r="I198" s="2772"/>
      <c r="J198" s="3962"/>
      <c r="K198" s="3904"/>
      <c r="L198" s="2134"/>
      <c r="M198" s="2668"/>
      <c r="N198" s="3608"/>
      <c r="O198" s="2625"/>
      <c r="P198" s="3568"/>
      <c r="Q198" s="3017"/>
      <c r="R198" s="2878"/>
      <c r="S198" s="2101" t="s">
        <v>2031</v>
      </c>
      <c r="T198" s="3893">
        <v>2000000</v>
      </c>
      <c r="U198" s="3958" t="s">
        <v>1791</v>
      </c>
      <c r="V198" s="3894" t="s">
        <v>2013</v>
      </c>
      <c r="W198" s="2645"/>
      <c r="X198" s="2645"/>
      <c r="Y198" s="2645"/>
      <c r="Z198" s="2645"/>
      <c r="AA198" s="2645"/>
      <c r="AB198" s="2645"/>
      <c r="AC198" s="2645"/>
      <c r="AD198" s="2645"/>
      <c r="AE198" s="2645"/>
      <c r="AF198" s="2645"/>
      <c r="AG198" s="2645"/>
      <c r="AH198" s="2645"/>
      <c r="AI198" s="2645"/>
      <c r="AJ198" s="2645"/>
      <c r="AK198" s="2645"/>
      <c r="AL198" s="2645"/>
      <c r="AM198" s="2645"/>
      <c r="AN198" s="2645"/>
      <c r="AO198" s="2645"/>
      <c r="AP198" s="2847"/>
    </row>
    <row r="199" spans="1:42" s="3908" customFormat="1" ht="71.25" customHeight="1" x14ac:dyDescent="0.2">
      <c r="A199" s="3874"/>
      <c r="B199" s="3874"/>
      <c r="C199" s="3874"/>
      <c r="D199" s="3957"/>
      <c r="E199" s="3957"/>
      <c r="F199" s="3957"/>
      <c r="G199" s="3457">
        <v>1905026</v>
      </c>
      <c r="H199" s="3595">
        <v>12.1</v>
      </c>
      <c r="I199" s="2772" t="s">
        <v>2032</v>
      </c>
      <c r="J199" s="3962" t="s">
        <v>2033</v>
      </c>
      <c r="K199" s="3904">
        <v>12</v>
      </c>
      <c r="L199" s="2134"/>
      <c r="M199" s="2668"/>
      <c r="N199" s="3609"/>
      <c r="O199" s="2669">
        <f>SUM(T199:T204)/P194</f>
        <v>0.33333333333333331</v>
      </c>
      <c r="P199" s="2873"/>
      <c r="Q199" s="3017"/>
      <c r="R199" s="2878"/>
      <c r="S199" s="2101" t="s">
        <v>2034</v>
      </c>
      <c r="T199" s="3893">
        <v>10000000</v>
      </c>
      <c r="U199" s="3958" t="s">
        <v>1791</v>
      </c>
      <c r="V199" s="3894" t="s">
        <v>2013</v>
      </c>
      <c r="W199" s="2645"/>
      <c r="X199" s="2645"/>
      <c r="Y199" s="2645"/>
      <c r="Z199" s="2645"/>
      <c r="AA199" s="2645"/>
      <c r="AB199" s="2645"/>
      <c r="AC199" s="2645"/>
      <c r="AD199" s="2645"/>
      <c r="AE199" s="2645"/>
      <c r="AF199" s="2645"/>
      <c r="AG199" s="2645"/>
      <c r="AH199" s="2645"/>
      <c r="AI199" s="2645"/>
      <c r="AJ199" s="2645"/>
      <c r="AK199" s="2645"/>
      <c r="AL199" s="2645"/>
      <c r="AM199" s="2645"/>
      <c r="AN199" s="2645"/>
      <c r="AO199" s="2645"/>
      <c r="AP199" s="2847"/>
    </row>
    <row r="200" spans="1:42" s="3908" customFormat="1" ht="71.25" customHeight="1" x14ac:dyDescent="0.2">
      <c r="A200" s="3874"/>
      <c r="B200" s="3874"/>
      <c r="C200" s="3874"/>
      <c r="D200" s="3957"/>
      <c r="E200" s="3957"/>
      <c r="F200" s="3957"/>
      <c r="G200" s="3564"/>
      <c r="H200" s="3595"/>
      <c r="I200" s="2772"/>
      <c r="J200" s="3962"/>
      <c r="K200" s="3904"/>
      <c r="L200" s="2134"/>
      <c r="M200" s="2668"/>
      <c r="N200" s="3609"/>
      <c r="O200" s="2669"/>
      <c r="P200" s="2873"/>
      <c r="Q200" s="3017"/>
      <c r="R200" s="2878"/>
      <c r="S200" s="2101" t="s">
        <v>2035</v>
      </c>
      <c r="T200" s="3893">
        <f>10000000-5000000</f>
        <v>5000000</v>
      </c>
      <c r="U200" s="3958" t="s">
        <v>1791</v>
      </c>
      <c r="V200" s="3894" t="s">
        <v>2013</v>
      </c>
      <c r="W200" s="2645"/>
      <c r="X200" s="2645"/>
      <c r="Y200" s="2645"/>
      <c r="Z200" s="2645"/>
      <c r="AA200" s="2645"/>
      <c r="AB200" s="2645"/>
      <c r="AC200" s="2645"/>
      <c r="AD200" s="2645"/>
      <c r="AE200" s="2645"/>
      <c r="AF200" s="2645"/>
      <c r="AG200" s="2645"/>
      <c r="AH200" s="2645"/>
      <c r="AI200" s="2645"/>
      <c r="AJ200" s="2645"/>
      <c r="AK200" s="2645"/>
      <c r="AL200" s="2645"/>
      <c r="AM200" s="2645"/>
      <c r="AN200" s="2645"/>
      <c r="AO200" s="2645"/>
      <c r="AP200" s="2847"/>
    </row>
    <row r="201" spans="1:42" s="3908" customFormat="1" ht="71.25" customHeight="1" x14ac:dyDescent="0.2">
      <c r="A201" s="3874"/>
      <c r="B201" s="3874"/>
      <c r="C201" s="3874"/>
      <c r="D201" s="3957"/>
      <c r="E201" s="3957"/>
      <c r="F201" s="3957"/>
      <c r="G201" s="3564"/>
      <c r="H201" s="3595"/>
      <c r="I201" s="2772"/>
      <c r="J201" s="3962"/>
      <c r="K201" s="3904"/>
      <c r="L201" s="2134"/>
      <c r="M201" s="2668"/>
      <c r="N201" s="3609"/>
      <c r="O201" s="2669"/>
      <c r="P201" s="2873"/>
      <c r="Q201" s="3017"/>
      <c r="R201" s="2878"/>
      <c r="S201" s="2101" t="s">
        <v>2036</v>
      </c>
      <c r="T201" s="3893">
        <f>10000000-5000000</f>
        <v>5000000</v>
      </c>
      <c r="U201" s="3958" t="s">
        <v>1791</v>
      </c>
      <c r="V201" s="3894" t="s">
        <v>2013</v>
      </c>
      <c r="W201" s="2645"/>
      <c r="X201" s="2645"/>
      <c r="Y201" s="2645"/>
      <c r="Z201" s="2645"/>
      <c r="AA201" s="2645"/>
      <c r="AB201" s="2645"/>
      <c r="AC201" s="2645"/>
      <c r="AD201" s="2645"/>
      <c r="AE201" s="2645"/>
      <c r="AF201" s="2645"/>
      <c r="AG201" s="2645"/>
      <c r="AH201" s="2645"/>
      <c r="AI201" s="2645"/>
      <c r="AJ201" s="2645"/>
      <c r="AK201" s="2645"/>
      <c r="AL201" s="2645"/>
      <c r="AM201" s="2645"/>
      <c r="AN201" s="2645"/>
      <c r="AO201" s="2645"/>
      <c r="AP201" s="2847"/>
    </row>
    <row r="202" spans="1:42" s="3908" customFormat="1" ht="71.25" customHeight="1" x14ac:dyDescent="0.2">
      <c r="A202" s="3874"/>
      <c r="B202" s="3874"/>
      <c r="C202" s="3874"/>
      <c r="D202" s="3957"/>
      <c r="E202" s="3957"/>
      <c r="F202" s="3957"/>
      <c r="G202" s="3564"/>
      <c r="H202" s="3595"/>
      <c r="I202" s="2772"/>
      <c r="J202" s="3962"/>
      <c r="K202" s="3904"/>
      <c r="L202" s="2134"/>
      <c r="M202" s="2668"/>
      <c r="N202" s="3609"/>
      <c r="O202" s="2669"/>
      <c r="P202" s="2873"/>
      <c r="Q202" s="3017"/>
      <c r="R202" s="2878"/>
      <c r="S202" s="2101" t="s">
        <v>2037</v>
      </c>
      <c r="T202" s="3893">
        <f>10000000-5000000</f>
        <v>5000000</v>
      </c>
      <c r="U202" s="3958" t="s">
        <v>1791</v>
      </c>
      <c r="V202" s="3894" t="s">
        <v>2013</v>
      </c>
      <c r="W202" s="2645"/>
      <c r="X202" s="2645"/>
      <c r="Y202" s="2645"/>
      <c r="Z202" s="2645"/>
      <c r="AA202" s="2645"/>
      <c r="AB202" s="2645"/>
      <c r="AC202" s="2645"/>
      <c r="AD202" s="2645"/>
      <c r="AE202" s="2645"/>
      <c r="AF202" s="2645"/>
      <c r="AG202" s="2645"/>
      <c r="AH202" s="2645"/>
      <c r="AI202" s="2645"/>
      <c r="AJ202" s="2645"/>
      <c r="AK202" s="2645"/>
      <c r="AL202" s="2645"/>
      <c r="AM202" s="2645"/>
      <c r="AN202" s="2645"/>
      <c r="AO202" s="2645"/>
      <c r="AP202" s="2847"/>
    </row>
    <row r="203" spans="1:42" s="3908" customFormat="1" ht="71.25" customHeight="1" x14ac:dyDescent="0.2">
      <c r="A203" s="3874"/>
      <c r="B203" s="3874"/>
      <c r="C203" s="3874"/>
      <c r="D203" s="3957"/>
      <c r="E203" s="3957"/>
      <c r="F203" s="3957"/>
      <c r="G203" s="3564"/>
      <c r="H203" s="3595"/>
      <c r="I203" s="2772"/>
      <c r="J203" s="3962"/>
      <c r="K203" s="3904"/>
      <c r="L203" s="2134"/>
      <c r="M203" s="2668"/>
      <c r="N203" s="3609"/>
      <c r="O203" s="2669"/>
      <c r="P203" s="2873"/>
      <c r="Q203" s="3017"/>
      <c r="R203" s="2878"/>
      <c r="S203" s="2101" t="s">
        <v>2038</v>
      </c>
      <c r="T203" s="3893">
        <f>10000000-5000000</f>
        <v>5000000</v>
      </c>
      <c r="U203" s="3958" t="s">
        <v>1791</v>
      </c>
      <c r="V203" s="3894" t="s">
        <v>2013</v>
      </c>
      <c r="W203" s="2645"/>
      <c r="X203" s="2645"/>
      <c r="Y203" s="2645"/>
      <c r="Z203" s="2645"/>
      <c r="AA203" s="2645"/>
      <c r="AB203" s="2645"/>
      <c r="AC203" s="2645"/>
      <c r="AD203" s="2645"/>
      <c r="AE203" s="2645"/>
      <c r="AF203" s="2645"/>
      <c r="AG203" s="2645"/>
      <c r="AH203" s="2645"/>
      <c r="AI203" s="2645"/>
      <c r="AJ203" s="2645"/>
      <c r="AK203" s="2645"/>
      <c r="AL203" s="2645"/>
      <c r="AM203" s="2645"/>
      <c r="AN203" s="2645"/>
      <c r="AO203" s="2645"/>
      <c r="AP203" s="2847"/>
    </row>
    <row r="204" spans="1:42" s="3908" customFormat="1" ht="71.25" customHeight="1" x14ac:dyDescent="0.2">
      <c r="A204" s="3874"/>
      <c r="B204" s="3874"/>
      <c r="C204" s="3874"/>
      <c r="D204" s="3957"/>
      <c r="E204" s="3957"/>
      <c r="F204" s="3957"/>
      <c r="G204" s="3564"/>
      <c r="H204" s="3595"/>
      <c r="I204" s="2871"/>
      <c r="J204" s="3962"/>
      <c r="K204" s="3904"/>
      <c r="L204" s="2134" t="s">
        <v>2415</v>
      </c>
      <c r="M204" s="2668"/>
      <c r="N204" s="3609"/>
      <c r="O204" s="2669"/>
      <c r="P204" s="2873"/>
      <c r="Q204" s="3017"/>
      <c r="R204" s="2878"/>
      <c r="S204" s="2101" t="s">
        <v>2039</v>
      </c>
      <c r="T204" s="3893">
        <v>10000000</v>
      </c>
      <c r="U204" s="3958" t="s">
        <v>1791</v>
      </c>
      <c r="V204" s="3894" t="s">
        <v>2013</v>
      </c>
      <c r="W204" s="2645"/>
      <c r="X204" s="2645"/>
      <c r="Y204" s="2645"/>
      <c r="Z204" s="2645"/>
      <c r="AA204" s="2645"/>
      <c r="AB204" s="2645"/>
      <c r="AC204" s="2645"/>
      <c r="AD204" s="2645"/>
      <c r="AE204" s="2645"/>
      <c r="AF204" s="2645"/>
      <c r="AG204" s="2645"/>
      <c r="AH204" s="2645"/>
      <c r="AI204" s="2645"/>
      <c r="AJ204" s="2645"/>
      <c r="AK204" s="2645"/>
      <c r="AL204" s="2645"/>
      <c r="AM204" s="2645"/>
      <c r="AN204" s="2645"/>
      <c r="AO204" s="2645"/>
      <c r="AP204" s="2847"/>
    </row>
    <row r="205" spans="1:42" s="3908" customFormat="1" ht="78.75" customHeight="1" x14ac:dyDescent="0.2">
      <c r="A205" s="3874"/>
      <c r="B205" s="3874"/>
      <c r="C205" s="3874"/>
      <c r="D205" s="3957"/>
      <c r="E205" s="3957"/>
      <c r="F205" s="3957"/>
      <c r="G205" s="3564">
        <v>1905027</v>
      </c>
      <c r="H205" s="3387">
        <v>12.11</v>
      </c>
      <c r="I205" s="2772" t="s">
        <v>2040</v>
      </c>
      <c r="J205" s="3962" t="s">
        <v>2041</v>
      </c>
      <c r="K205" s="3904">
        <v>12</v>
      </c>
      <c r="L205" s="2134" t="s">
        <v>2416</v>
      </c>
      <c r="M205" s="2668"/>
      <c r="N205" s="3608"/>
      <c r="O205" s="2625">
        <f>SUM(T205:T215)/P194</f>
        <v>0.5</v>
      </c>
      <c r="P205" s="3101"/>
      <c r="Q205" s="3017"/>
      <c r="R205" s="2878"/>
      <c r="S205" s="2101" t="s">
        <v>2042</v>
      </c>
      <c r="T205" s="3893">
        <v>7000000</v>
      </c>
      <c r="U205" s="3958" t="s">
        <v>1791</v>
      </c>
      <c r="V205" s="3894" t="s">
        <v>2013</v>
      </c>
      <c r="W205" s="2645"/>
      <c r="X205" s="2645"/>
      <c r="Y205" s="2645"/>
      <c r="Z205" s="2645"/>
      <c r="AA205" s="2645"/>
      <c r="AB205" s="2645"/>
      <c r="AC205" s="2645"/>
      <c r="AD205" s="2645"/>
      <c r="AE205" s="2645"/>
      <c r="AF205" s="2645"/>
      <c r="AG205" s="2645"/>
      <c r="AH205" s="2645"/>
      <c r="AI205" s="2645"/>
      <c r="AJ205" s="2645"/>
      <c r="AK205" s="2645"/>
      <c r="AL205" s="2645"/>
      <c r="AM205" s="2645"/>
      <c r="AN205" s="2645"/>
      <c r="AO205" s="2645"/>
      <c r="AP205" s="2847"/>
    </row>
    <row r="206" spans="1:42" s="3908" customFormat="1" ht="78.75" customHeight="1" x14ac:dyDescent="0.2">
      <c r="A206" s="3874"/>
      <c r="B206" s="3874"/>
      <c r="C206" s="3874"/>
      <c r="D206" s="3957"/>
      <c r="E206" s="3957"/>
      <c r="F206" s="3957"/>
      <c r="G206" s="3564"/>
      <c r="H206" s="3387"/>
      <c r="I206" s="2772"/>
      <c r="J206" s="3962"/>
      <c r="K206" s="3904"/>
      <c r="L206" s="2134"/>
      <c r="M206" s="2668"/>
      <c r="N206" s="3608"/>
      <c r="O206" s="2625"/>
      <c r="P206" s="3101"/>
      <c r="Q206" s="3017"/>
      <c r="R206" s="2878"/>
      <c r="S206" s="2101" t="s">
        <v>2043</v>
      </c>
      <c r="T206" s="3893">
        <f>10733000+267000</f>
        <v>11000000</v>
      </c>
      <c r="U206" s="3958" t="s">
        <v>1791</v>
      </c>
      <c r="V206" s="3894" t="s">
        <v>2013</v>
      </c>
      <c r="W206" s="2645"/>
      <c r="X206" s="2645"/>
      <c r="Y206" s="2645"/>
      <c r="Z206" s="2645"/>
      <c r="AA206" s="2645"/>
      <c r="AB206" s="2645"/>
      <c r="AC206" s="2645"/>
      <c r="AD206" s="2645"/>
      <c r="AE206" s="2645"/>
      <c r="AF206" s="2645"/>
      <c r="AG206" s="2645"/>
      <c r="AH206" s="2645"/>
      <c r="AI206" s="2645"/>
      <c r="AJ206" s="2645"/>
      <c r="AK206" s="2645"/>
      <c r="AL206" s="2645"/>
      <c r="AM206" s="2645"/>
      <c r="AN206" s="2645"/>
      <c r="AO206" s="2645"/>
      <c r="AP206" s="2847"/>
    </row>
    <row r="207" spans="1:42" s="3908" customFormat="1" ht="78.75" customHeight="1" x14ac:dyDescent="0.2">
      <c r="A207" s="3874"/>
      <c r="B207" s="3874"/>
      <c r="C207" s="3874"/>
      <c r="D207" s="3957"/>
      <c r="E207" s="3957"/>
      <c r="F207" s="3957"/>
      <c r="G207" s="3564"/>
      <c r="H207" s="3387"/>
      <c r="I207" s="2772"/>
      <c r="J207" s="3962"/>
      <c r="K207" s="3904"/>
      <c r="L207" s="2134"/>
      <c r="M207" s="2668"/>
      <c r="N207" s="3608"/>
      <c r="O207" s="2625"/>
      <c r="P207" s="3101"/>
      <c r="Q207" s="3017"/>
      <c r="R207" s="2878"/>
      <c r="S207" s="2101" t="s">
        <v>2044</v>
      </c>
      <c r="T207" s="3893">
        <f>11066999+933001</f>
        <v>12000000</v>
      </c>
      <c r="U207" s="3958" t="s">
        <v>1791</v>
      </c>
      <c r="V207" s="3894" t="s">
        <v>2013</v>
      </c>
      <c r="W207" s="2645"/>
      <c r="X207" s="2645"/>
      <c r="Y207" s="2645"/>
      <c r="Z207" s="2645"/>
      <c r="AA207" s="2645"/>
      <c r="AB207" s="2645"/>
      <c r="AC207" s="2645"/>
      <c r="AD207" s="2645"/>
      <c r="AE207" s="2645"/>
      <c r="AF207" s="2645"/>
      <c r="AG207" s="2645"/>
      <c r="AH207" s="2645"/>
      <c r="AI207" s="2645"/>
      <c r="AJ207" s="2645"/>
      <c r="AK207" s="2645"/>
      <c r="AL207" s="2645"/>
      <c r="AM207" s="2645"/>
      <c r="AN207" s="2645"/>
      <c r="AO207" s="2645"/>
      <c r="AP207" s="2847"/>
    </row>
    <row r="208" spans="1:42" s="3908" customFormat="1" ht="78.75" customHeight="1" x14ac:dyDescent="0.2">
      <c r="A208" s="3874"/>
      <c r="B208" s="3874"/>
      <c r="C208" s="3874"/>
      <c r="D208" s="3957"/>
      <c r="E208" s="3957"/>
      <c r="F208" s="3957"/>
      <c r="G208" s="3564"/>
      <c r="H208" s="3387"/>
      <c r="I208" s="2772"/>
      <c r="J208" s="3962"/>
      <c r="K208" s="3904"/>
      <c r="L208" s="2134"/>
      <c r="M208" s="2668"/>
      <c r="N208" s="3608"/>
      <c r="O208" s="2625"/>
      <c r="P208" s="3101"/>
      <c r="Q208" s="3017"/>
      <c r="R208" s="2878"/>
      <c r="S208" s="2101" t="s">
        <v>2045</v>
      </c>
      <c r="T208" s="3893">
        <v>4000000</v>
      </c>
      <c r="U208" s="3958" t="s">
        <v>1791</v>
      </c>
      <c r="V208" s="3894" t="s">
        <v>2013</v>
      </c>
      <c r="W208" s="2645"/>
      <c r="X208" s="2645"/>
      <c r="Y208" s="2645"/>
      <c r="Z208" s="2645"/>
      <c r="AA208" s="2645"/>
      <c r="AB208" s="2645"/>
      <c r="AC208" s="2645"/>
      <c r="AD208" s="2645"/>
      <c r="AE208" s="2645"/>
      <c r="AF208" s="2645"/>
      <c r="AG208" s="2645"/>
      <c r="AH208" s="2645"/>
      <c r="AI208" s="2645"/>
      <c r="AJ208" s="2645"/>
      <c r="AK208" s="2645"/>
      <c r="AL208" s="2645"/>
      <c r="AM208" s="2645"/>
      <c r="AN208" s="2645"/>
      <c r="AO208" s="2645"/>
      <c r="AP208" s="2847"/>
    </row>
    <row r="209" spans="1:42" s="3908" customFormat="1" ht="78.75" customHeight="1" x14ac:dyDescent="0.2">
      <c r="A209" s="3874"/>
      <c r="B209" s="3874"/>
      <c r="C209" s="3874"/>
      <c r="D209" s="3957"/>
      <c r="E209" s="3957"/>
      <c r="F209" s="3957"/>
      <c r="G209" s="3564"/>
      <c r="H209" s="3387"/>
      <c r="I209" s="2772"/>
      <c r="J209" s="3962"/>
      <c r="K209" s="3904"/>
      <c r="L209" s="2134"/>
      <c r="M209" s="2668"/>
      <c r="N209" s="3608"/>
      <c r="O209" s="2625"/>
      <c r="P209" s="3101"/>
      <c r="Q209" s="3017"/>
      <c r="R209" s="2878"/>
      <c r="S209" s="2101" t="s">
        <v>2046</v>
      </c>
      <c r="T209" s="3893">
        <v>4000000</v>
      </c>
      <c r="U209" s="3958" t="s">
        <v>1791</v>
      </c>
      <c r="V209" s="3894" t="s">
        <v>2013</v>
      </c>
      <c r="W209" s="2645"/>
      <c r="X209" s="2645"/>
      <c r="Y209" s="2645"/>
      <c r="Z209" s="2645"/>
      <c r="AA209" s="2645"/>
      <c r="AB209" s="2645"/>
      <c r="AC209" s="2645"/>
      <c r="AD209" s="2645"/>
      <c r="AE209" s="2645"/>
      <c r="AF209" s="2645"/>
      <c r="AG209" s="2645"/>
      <c r="AH209" s="2645"/>
      <c r="AI209" s="2645"/>
      <c r="AJ209" s="2645"/>
      <c r="AK209" s="2645"/>
      <c r="AL209" s="2645"/>
      <c r="AM209" s="2645"/>
      <c r="AN209" s="2645"/>
      <c r="AO209" s="2645"/>
      <c r="AP209" s="2847"/>
    </row>
    <row r="210" spans="1:42" s="3908" customFormat="1" ht="78.75" customHeight="1" x14ac:dyDescent="0.2">
      <c r="A210" s="3874"/>
      <c r="B210" s="3874"/>
      <c r="C210" s="3874"/>
      <c r="D210" s="3957"/>
      <c r="E210" s="3957"/>
      <c r="F210" s="3957"/>
      <c r="G210" s="3564"/>
      <c r="H210" s="3387"/>
      <c r="I210" s="2772"/>
      <c r="J210" s="3962"/>
      <c r="K210" s="3904"/>
      <c r="L210" s="2134"/>
      <c r="M210" s="2668"/>
      <c r="N210" s="3608"/>
      <c r="O210" s="2625"/>
      <c r="P210" s="3101"/>
      <c r="Q210" s="3017"/>
      <c r="R210" s="2878"/>
      <c r="S210" s="2101" t="s">
        <v>2047</v>
      </c>
      <c r="T210" s="3893">
        <v>4000000</v>
      </c>
      <c r="U210" s="3958" t="s">
        <v>1791</v>
      </c>
      <c r="V210" s="3894" t="s">
        <v>2013</v>
      </c>
      <c r="W210" s="2645"/>
      <c r="X210" s="2645"/>
      <c r="Y210" s="2645"/>
      <c r="Z210" s="2645"/>
      <c r="AA210" s="2645"/>
      <c r="AB210" s="2645"/>
      <c r="AC210" s="2645"/>
      <c r="AD210" s="2645"/>
      <c r="AE210" s="2645"/>
      <c r="AF210" s="2645"/>
      <c r="AG210" s="2645"/>
      <c r="AH210" s="2645"/>
      <c r="AI210" s="2645"/>
      <c r="AJ210" s="2645"/>
      <c r="AK210" s="2645"/>
      <c r="AL210" s="2645"/>
      <c r="AM210" s="2645"/>
      <c r="AN210" s="2645"/>
      <c r="AO210" s="2645"/>
      <c r="AP210" s="2847"/>
    </row>
    <row r="211" spans="1:42" s="3908" customFormat="1" ht="78.75" customHeight="1" x14ac:dyDescent="0.2">
      <c r="A211" s="3874"/>
      <c r="B211" s="3874"/>
      <c r="C211" s="3874"/>
      <c r="D211" s="3957"/>
      <c r="E211" s="3957"/>
      <c r="F211" s="3957"/>
      <c r="G211" s="3564"/>
      <c r="H211" s="3387"/>
      <c r="I211" s="2772"/>
      <c r="J211" s="3962"/>
      <c r="K211" s="3904"/>
      <c r="L211" s="2134"/>
      <c r="M211" s="2668"/>
      <c r="N211" s="3608"/>
      <c r="O211" s="2625"/>
      <c r="P211" s="3101"/>
      <c r="Q211" s="3017"/>
      <c r="R211" s="2878"/>
      <c r="S211" s="2101" t="s">
        <v>2048</v>
      </c>
      <c r="T211" s="3893">
        <v>4000000</v>
      </c>
      <c r="U211" s="3958" t="s">
        <v>1791</v>
      </c>
      <c r="V211" s="3894" t="s">
        <v>2013</v>
      </c>
      <c r="W211" s="2645"/>
      <c r="X211" s="2645"/>
      <c r="Y211" s="2645"/>
      <c r="Z211" s="2645"/>
      <c r="AA211" s="2645"/>
      <c r="AB211" s="2645"/>
      <c r="AC211" s="2645"/>
      <c r="AD211" s="2645"/>
      <c r="AE211" s="2645"/>
      <c r="AF211" s="2645"/>
      <c r="AG211" s="2645"/>
      <c r="AH211" s="2645"/>
      <c r="AI211" s="2645"/>
      <c r="AJ211" s="2645"/>
      <c r="AK211" s="2645"/>
      <c r="AL211" s="2645"/>
      <c r="AM211" s="2645"/>
      <c r="AN211" s="2645"/>
      <c r="AO211" s="2645"/>
      <c r="AP211" s="2847"/>
    </row>
    <row r="212" spans="1:42" s="3908" customFormat="1" ht="78.75" customHeight="1" x14ac:dyDescent="0.2">
      <c r="A212" s="3874"/>
      <c r="B212" s="3874"/>
      <c r="C212" s="3874"/>
      <c r="D212" s="3957"/>
      <c r="E212" s="3957"/>
      <c r="F212" s="3957"/>
      <c r="G212" s="3564"/>
      <c r="H212" s="3387"/>
      <c r="I212" s="2772"/>
      <c r="J212" s="3962"/>
      <c r="K212" s="3904"/>
      <c r="L212" s="2134"/>
      <c r="M212" s="2668"/>
      <c r="N212" s="3608"/>
      <c r="O212" s="2625"/>
      <c r="P212" s="3101"/>
      <c r="Q212" s="3017"/>
      <c r="R212" s="2878"/>
      <c r="S212" s="2101" t="s">
        <v>2049</v>
      </c>
      <c r="T212" s="3893">
        <v>4000000</v>
      </c>
      <c r="U212" s="3958" t="s">
        <v>1791</v>
      </c>
      <c r="V212" s="3894" t="s">
        <v>2013</v>
      </c>
      <c r="W212" s="2645"/>
      <c r="X212" s="2645"/>
      <c r="Y212" s="2645"/>
      <c r="Z212" s="2645"/>
      <c r="AA212" s="2645"/>
      <c r="AB212" s="2645"/>
      <c r="AC212" s="2645"/>
      <c r="AD212" s="2645"/>
      <c r="AE212" s="2645"/>
      <c r="AF212" s="2645"/>
      <c r="AG212" s="2645"/>
      <c r="AH212" s="2645"/>
      <c r="AI212" s="2645"/>
      <c r="AJ212" s="2645"/>
      <c r="AK212" s="2645"/>
      <c r="AL212" s="2645"/>
      <c r="AM212" s="2645"/>
      <c r="AN212" s="2645"/>
      <c r="AO212" s="2645"/>
      <c r="AP212" s="2847"/>
    </row>
    <row r="213" spans="1:42" s="3908" customFormat="1" ht="78.75" customHeight="1" x14ac:dyDescent="0.2">
      <c r="A213" s="3874"/>
      <c r="B213" s="3874"/>
      <c r="C213" s="3874"/>
      <c r="D213" s="3957"/>
      <c r="E213" s="3957"/>
      <c r="F213" s="3957"/>
      <c r="G213" s="3564"/>
      <c r="H213" s="3387"/>
      <c r="I213" s="2772"/>
      <c r="J213" s="3962"/>
      <c r="K213" s="3904"/>
      <c r="L213" s="2134"/>
      <c r="M213" s="2668"/>
      <c r="N213" s="3608"/>
      <c r="O213" s="2625"/>
      <c r="P213" s="3101"/>
      <c r="Q213" s="3017"/>
      <c r="R213" s="2878"/>
      <c r="S213" s="2101" t="s">
        <v>2050</v>
      </c>
      <c r="T213" s="3893">
        <v>4000000</v>
      </c>
      <c r="U213" s="3958" t="s">
        <v>1791</v>
      </c>
      <c r="V213" s="3894" t="s">
        <v>2013</v>
      </c>
      <c r="W213" s="2645"/>
      <c r="X213" s="2645"/>
      <c r="Y213" s="2645"/>
      <c r="Z213" s="2645"/>
      <c r="AA213" s="2645"/>
      <c r="AB213" s="2645"/>
      <c r="AC213" s="2645"/>
      <c r="AD213" s="2645"/>
      <c r="AE213" s="2645"/>
      <c r="AF213" s="2645"/>
      <c r="AG213" s="2645"/>
      <c r="AH213" s="2645"/>
      <c r="AI213" s="2645"/>
      <c r="AJ213" s="2645"/>
      <c r="AK213" s="2645"/>
      <c r="AL213" s="2645"/>
      <c r="AM213" s="2645"/>
      <c r="AN213" s="2645"/>
      <c r="AO213" s="2645"/>
      <c r="AP213" s="2847"/>
    </row>
    <row r="214" spans="1:42" s="3908" customFormat="1" ht="78.75" customHeight="1" x14ac:dyDescent="0.2">
      <c r="A214" s="3874"/>
      <c r="B214" s="3874"/>
      <c r="C214" s="3874"/>
      <c r="D214" s="3957"/>
      <c r="E214" s="3957"/>
      <c r="F214" s="3957"/>
      <c r="G214" s="3564"/>
      <c r="H214" s="3387"/>
      <c r="I214" s="2772"/>
      <c r="J214" s="3962"/>
      <c r="K214" s="3904"/>
      <c r="L214" s="2134"/>
      <c r="M214" s="2668"/>
      <c r="N214" s="3608"/>
      <c r="O214" s="2625"/>
      <c r="P214" s="3101"/>
      <c r="Q214" s="3017"/>
      <c r="R214" s="2878"/>
      <c r="S214" s="2101" t="s">
        <v>2051</v>
      </c>
      <c r="T214" s="3893">
        <v>3000000</v>
      </c>
      <c r="U214" s="3958" t="s">
        <v>1791</v>
      </c>
      <c r="V214" s="3894" t="s">
        <v>2013</v>
      </c>
      <c r="W214" s="2645"/>
      <c r="X214" s="2645"/>
      <c r="Y214" s="2645"/>
      <c r="Z214" s="2645"/>
      <c r="AA214" s="2645"/>
      <c r="AB214" s="2645"/>
      <c r="AC214" s="2645"/>
      <c r="AD214" s="2645"/>
      <c r="AE214" s="2645"/>
      <c r="AF214" s="2645"/>
      <c r="AG214" s="2645"/>
      <c r="AH214" s="2645"/>
      <c r="AI214" s="2645"/>
      <c r="AJ214" s="2645"/>
      <c r="AK214" s="2645"/>
      <c r="AL214" s="2645"/>
      <c r="AM214" s="2645"/>
      <c r="AN214" s="2645"/>
      <c r="AO214" s="2645"/>
      <c r="AP214" s="2847"/>
    </row>
    <row r="215" spans="1:42" s="3908" customFormat="1" ht="78.75" customHeight="1" x14ac:dyDescent="0.2">
      <c r="A215" s="3874"/>
      <c r="B215" s="3874"/>
      <c r="C215" s="3874"/>
      <c r="D215" s="3957"/>
      <c r="E215" s="3957"/>
      <c r="F215" s="3957"/>
      <c r="G215" s="3456"/>
      <c r="H215" s="3387"/>
      <c r="I215" s="2871"/>
      <c r="J215" s="3963"/>
      <c r="K215" s="3904"/>
      <c r="L215" s="3923"/>
      <c r="M215" s="2735"/>
      <c r="N215" s="2846"/>
      <c r="O215" s="2625"/>
      <c r="P215" s="3101"/>
      <c r="Q215" s="3017"/>
      <c r="R215" s="2879"/>
      <c r="S215" s="2101" t="s">
        <v>2052</v>
      </c>
      <c r="T215" s="3893">
        <v>3000000</v>
      </c>
      <c r="U215" s="3958" t="s">
        <v>1791</v>
      </c>
      <c r="V215" s="3894" t="s">
        <v>2013</v>
      </c>
      <c r="W215" s="2646"/>
      <c r="X215" s="2646"/>
      <c r="Y215" s="2646"/>
      <c r="Z215" s="2646"/>
      <c r="AA215" s="2646"/>
      <c r="AB215" s="2646"/>
      <c r="AC215" s="2646"/>
      <c r="AD215" s="2646"/>
      <c r="AE215" s="2646"/>
      <c r="AF215" s="2646"/>
      <c r="AG215" s="2646"/>
      <c r="AH215" s="2646"/>
      <c r="AI215" s="2646"/>
      <c r="AJ215" s="2646"/>
      <c r="AK215" s="2646"/>
      <c r="AL215" s="2646"/>
      <c r="AM215" s="2646"/>
      <c r="AN215" s="2646"/>
      <c r="AO215" s="2646"/>
      <c r="AP215" s="2848"/>
    </row>
    <row r="216" spans="1:42" s="3908" customFormat="1" ht="28.5" customHeight="1" x14ac:dyDescent="0.2">
      <c r="A216" s="3874"/>
      <c r="B216" s="3874"/>
      <c r="C216" s="3874"/>
      <c r="D216" s="3957"/>
      <c r="E216" s="3957"/>
      <c r="F216" s="3957"/>
      <c r="G216" s="3564" t="s">
        <v>52</v>
      </c>
      <c r="H216" s="3391">
        <v>12.19</v>
      </c>
      <c r="I216" s="2772" t="s">
        <v>1941</v>
      </c>
      <c r="J216" s="2426" t="s">
        <v>1942</v>
      </c>
      <c r="K216" s="3904">
        <v>2</v>
      </c>
      <c r="L216" s="3913"/>
      <c r="M216" s="2668" t="s">
        <v>2053</v>
      </c>
      <c r="N216" s="2772" t="s">
        <v>2054</v>
      </c>
      <c r="O216" s="2669">
        <f>SUM(T216:T224)/P216</f>
        <v>0.8075878854768388</v>
      </c>
      <c r="P216" s="3613">
        <f>SUM(T216:T233)</f>
        <v>525751228.61000001</v>
      </c>
      <c r="Q216" s="3983" t="s">
        <v>2055</v>
      </c>
      <c r="R216" s="2982" t="s">
        <v>2056</v>
      </c>
      <c r="S216" s="2397" t="s">
        <v>2057</v>
      </c>
      <c r="T216" s="3984">
        <f>59118933+200991312-55519922</f>
        <v>204590323</v>
      </c>
      <c r="U216" s="3958" t="s">
        <v>2058</v>
      </c>
      <c r="V216" s="3985" t="s">
        <v>2059</v>
      </c>
      <c r="W216" s="2601">
        <v>292684</v>
      </c>
      <c r="X216" s="2601">
        <v>282326</v>
      </c>
      <c r="Y216" s="2601">
        <v>135912</v>
      </c>
      <c r="Z216" s="2601">
        <v>45122</v>
      </c>
      <c r="AA216" s="2601">
        <v>307101</v>
      </c>
      <c r="AB216" s="2601">
        <f>SUM(AA216*0.56)</f>
        <v>171976.56000000003</v>
      </c>
      <c r="AC216" s="2601">
        <v>86875</v>
      </c>
      <c r="AD216" s="2601">
        <v>2145</v>
      </c>
      <c r="AE216" s="2601">
        <v>12718</v>
      </c>
      <c r="AF216" s="2601">
        <v>26</v>
      </c>
      <c r="AG216" s="2601">
        <v>37</v>
      </c>
      <c r="AH216" s="2601">
        <v>0</v>
      </c>
      <c r="AI216" s="2601">
        <v>0</v>
      </c>
      <c r="AJ216" s="2601">
        <v>53164</v>
      </c>
      <c r="AK216" s="2601">
        <v>16982</v>
      </c>
      <c r="AL216" s="2601">
        <v>60013</v>
      </c>
      <c r="AM216" s="2601">
        <v>575010</v>
      </c>
      <c r="AN216" s="3494">
        <v>43832</v>
      </c>
      <c r="AO216" s="3494">
        <v>44196</v>
      </c>
      <c r="AP216" s="2397" t="s">
        <v>1739</v>
      </c>
    </row>
    <row r="217" spans="1:42" s="3908" customFormat="1" ht="28.5" customHeight="1" x14ac:dyDescent="0.2">
      <c r="A217" s="3874"/>
      <c r="B217" s="3874"/>
      <c r="C217" s="3874"/>
      <c r="D217" s="3957"/>
      <c r="E217" s="3957"/>
      <c r="F217" s="3957"/>
      <c r="G217" s="3564"/>
      <c r="H217" s="3611"/>
      <c r="I217" s="2772"/>
      <c r="J217" s="2426"/>
      <c r="K217" s="3904"/>
      <c r="L217" s="2134"/>
      <c r="M217" s="2668"/>
      <c r="N217" s="2772"/>
      <c r="O217" s="2669"/>
      <c r="P217" s="3613"/>
      <c r="Q217" s="3986"/>
      <c r="R217" s="2878"/>
      <c r="S217" s="2398"/>
      <c r="T217" s="3984">
        <f>80000000-25000000</f>
        <v>55000000</v>
      </c>
      <c r="U217" s="3958" t="s">
        <v>1791</v>
      </c>
      <c r="V217" s="3985" t="s">
        <v>2013</v>
      </c>
      <c r="W217" s="2602"/>
      <c r="X217" s="2602"/>
      <c r="Y217" s="2602"/>
      <c r="Z217" s="2602"/>
      <c r="AA217" s="2602"/>
      <c r="AB217" s="2602"/>
      <c r="AC217" s="2602"/>
      <c r="AD217" s="2602"/>
      <c r="AE217" s="2602"/>
      <c r="AF217" s="2602"/>
      <c r="AG217" s="2602"/>
      <c r="AH217" s="2602"/>
      <c r="AI217" s="2602"/>
      <c r="AJ217" s="2602"/>
      <c r="AK217" s="2602"/>
      <c r="AL217" s="2602"/>
      <c r="AM217" s="2602"/>
      <c r="AN217" s="2602"/>
      <c r="AO217" s="2602"/>
      <c r="AP217" s="2398"/>
    </row>
    <row r="218" spans="1:42" s="3908" customFormat="1" ht="28.5" customHeight="1" x14ac:dyDescent="0.2">
      <c r="A218" s="3874"/>
      <c r="B218" s="3874"/>
      <c r="C218" s="3874"/>
      <c r="D218" s="3957"/>
      <c r="E218" s="3957"/>
      <c r="F218" s="3957"/>
      <c r="G218" s="3564"/>
      <c r="H218" s="3611"/>
      <c r="I218" s="2772"/>
      <c r="J218" s="2426"/>
      <c r="K218" s="3904"/>
      <c r="L218" s="2134"/>
      <c r="M218" s="2668"/>
      <c r="N218" s="2772"/>
      <c r="O218" s="2669"/>
      <c r="P218" s="3613"/>
      <c r="Q218" s="3986"/>
      <c r="R218" s="2878"/>
      <c r="S218" s="2819"/>
      <c r="T218" s="3984">
        <f>36000000+15000000</f>
        <v>51000000</v>
      </c>
      <c r="U218" s="3958" t="s">
        <v>1861</v>
      </c>
      <c r="V218" s="3985" t="s">
        <v>227</v>
      </c>
      <c r="W218" s="2602"/>
      <c r="X218" s="2602"/>
      <c r="Y218" s="2602"/>
      <c r="Z218" s="2602"/>
      <c r="AA218" s="2602"/>
      <c r="AB218" s="2602"/>
      <c r="AC218" s="2602"/>
      <c r="AD218" s="2602"/>
      <c r="AE218" s="2602"/>
      <c r="AF218" s="2602"/>
      <c r="AG218" s="2602"/>
      <c r="AH218" s="2602"/>
      <c r="AI218" s="2602"/>
      <c r="AJ218" s="2602"/>
      <c r="AK218" s="2602"/>
      <c r="AL218" s="2602"/>
      <c r="AM218" s="2602"/>
      <c r="AN218" s="2602"/>
      <c r="AO218" s="2602"/>
      <c r="AP218" s="2398"/>
    </row>
    <row r="219" spans="1:42" s="3908" customFormat="1" ht="58.5" customHeight="1" x14ac:dyDescent="0.2">
      <c r="A219" s="3874"/>
      <c r="B219" s="3874"/>
      <c r="C219" s="3874"/>
      <c r="D219" s="3957"/>
      <c r="E219" s="3957"/>
      <c r="F219" s="3957"/>
      <c r="G219" s="3564"/>
      <c r="H219" s="3611"/>
      <c r="I219" s="2772"/>
      <c r="J219" s="2426"/>
      <c r="K219" s="3904"/>
      <c r="L219" s="2134"/>
      <c r="M219" s="2668"/>
      <c r="N219" s="2772"/>
      <c r="O219" s="2669"/>
      <c r="P219" s="3613"/>
      <c r="Q219" s="3986"/>
      <c r="R219" s="2878"/>
      <c r="S219" s="2115" t="s">
        <v>2060</v>
      </c>
      <c r="T219" s="3984">
        <v>10000000</v>
      </c>
      <c r="U219" s="3958" t="s">
        <v>1791</v>
      </c>
      <c r="V219" s="3985" t="s">
        <v>2013</v>
      </c>
      <c r="W219" s="2602"/>
      <c r="X219" s="2602"/>
      <c r="Y219" s="2602"/>
      <c r="Z219" s="2602"/>
      <c r="AA219" s="2602"/>
      <c r="AB219" s="2602"/>
      <c r="AC219" s="2602"/>
      <c r="AD219" s="2602"/>
      <c r="AE219" s="2602"/>
      <c r="AF219" s="2602"/>
      <c r="AG219" s="2602"/>
      <c r="AH219" s="2602"/>
      <c r="AI219" s="2602"/>
      <c r="AJ219" s="2602"/>
      <c r="AK219" s="2602"/>
      <c r="AL219" s="2602"/>
      <c r="AM219" s="2602"/>
      <c r="AN219" s="2602"/>
      <c r="AO219" s="2602"/>
      <c r="AP219" s="2398"/>
    </row>
    <row r="220" spans="1:42" s="3908" customFormat="1" ht="28.5" customHeight="1" x14ac:dyDescent="0.2">
      <c r="A220" s="3874"/>
      <c r="B220" s="3874"/>
      <c r="C220" s="3874"/>
      <c r="D220" s="3957"/>
      <c r="E220" s="3957"/>
      <c r="F220" s="3957"/>
      <c r="G220" s="3564"/>
      <c r="H220" s="3611"/>
      <c r="I220" s="2772"/>
      <c r="J220" s="2426"/>
      <c r="K220" s="3904"/>
      <c r="L220" s="2134" t="s">
        <v>2417</v>
      </c>
      <c r="M220" s="2668"/>
      <c r="N220" s="2772"/>
      <c r="O220" s="2669"/>
      <c r="P220" s="3613"/>
      <c r="Q220" s="3986"/>
      <c r="R220" s="2878"/>
      <c r="S220" s="2397" t="s">
        <v>2061</v>
      </c>
      <c r="T220" s="3984">
        <v>10000000</v>
      </c>
      <c r="U220" s="3958" t="s">
        <v>1791</v>
      </c>
      <c r="V220" s="3985" t="s">
        <v>2013</v>
      </c>
      <c r="W220" s="2602"/>
      <c r="X220" s="2602"/>
      <c r="Y220" s="2602"/>
      <c r="Z220" s="2602"/>
      <c r="AA220" s="2602"/>
      <c r="AB220" s="2602"/>
      <c r="AC220" s="2602"/>
      <c r="AD220" s="2602"/>
      <c r="AE220" s="2602"/>
      <c r="AF220" s="2602"/>
      <c r="AG220" s="2602"/>
      <c r="AH220" s="2602"/>
      <c r="AI220" s="2602"/>
      <c r="AJ220" s="2602"/>
      <c r="AK220" s="2602"/>
      <c r="AL220" s="2602"/>
      <c r="AM220" s="2602"/>
      <c r="AN220" s="2602"/>
      <c r="AO220" s="2602"/>
      <c r="AP220" s="2398"/>
    </row>
    <row r="221" spans="1:42" s="3908" customFormat="1" ht="28.5" customHeight="1" x14ac:dyDescent="0.2">
      <c r="A221" s="3874"/>
      <c r="B221" s="3874"/>
      <c r="C221" s="3874"/>
      <c r="D221" s="3957"/>
      <c r="E221" s="3957"/>
      <c r="F221" s="3957"/>
      <c r="G221" s="3564"/>
      <c r="H221" s="3611"/>
      <c r="I221" s="2772"/>
      <c r="J221" s="2426"/>
      <c r="K221" s="3904"/>
      <c r="L221" s="2134" t="s">
        <v>2418</v>
      </c>
      <c r="M221" s="2668"/>
      <c r="N221" s="2772"/>
      <c r="O221" s="2669"/>
      <c r="P221" s="3613"/>
      <c r="Q221" s="3986"/>
      <c r="R221" s="2878"/>
      <c r="S221" s="2819"/>
      <c r="T221" s="3984">
        <f>18982533+4000000</f>
        <v>22982533</v>
      </c>
      <c r="U221" s="3958" t="s">
        <v>1871</v>
      </c>
      <c r="V221" s="3985" t="s">
        <v>70</v>
      </c>
      <c r="W221" s="2602"/>
      <c r="X221" s="2602"/>
      <c r="Y221" s="2602"/>
      <c r="Z221" s="2602"/>
      <c r="AA221" s="2602"/>
      <c r="AB221" s="2602"/>
      <c r="AC221" s="2602"/>
      <c r="AD221" s="2602"/>
      <c r="AE221" s="2602"/>
      <c r="AF221" s="2602"/>
      <c r="AG221" s="2602"/>
      <c r="AH221" s="2602"/>
      <c r="AI221" s="2602"/>
      <c r="AJ221" s="2602"/>
      <c r="AK221" s="2602"/>
      <c r="AL221" s="2602"/>
      <c r="AM221" s="2602"/>
      <c r="AN221" s="2602"/>
      <c r="AO221" s="2602"/>
      <c r="AP221" s="2398"/>
    </row>
    <row r="222" spans="1:42" s="3908" customFormat="1" ht="81.75" customHeight="1" x14ac:dyDescent="0.2">
      <c r="A222" s="3874"/>
      <c r="B222" s="3874"/>
      <c r="C222" s="3874"/>
      <c r="D222" s="3957"/>
      <c r="E222" s="3957"/>
      <c r="F222" s="3957"/>
      <c r="G222" s="3564"/>
      <c r="H222" s="3611"/>
      <c r="I222" s="2772"/>
      <c r="J222" s="2426"/>
      <c r="K222" s="3904"/>
      <c r="L222" s="2134" t="s">
        <v>2419</v>
      </c>
      <c r="M222" s="2668"/>
      <c r="N222" s="2772"/>
      <c r="O222" s="2669"/>
      <c r="P222" s="3613"/>
      <c r="Q222" s="3986"/>
      <c r="R222" s="2878"/>
      <c r="S222" s="2115" t="s">
        <v>2062</v>
      </c>
      <c r="T222" s="3984">
        <f>33697288+2000000</f>
        <v>35697288</v>
      </c>
      <c r="U222" s="3958" t="s">
        <v>1871</v>
      </c>
      <c r="V222" s="3985" t="s">
        <v>70</v>
      </c>
      <c r="W222" s="2602"/>
      <c r="X222" s="2602"/>
      <c r="Y222" s="2602"/>
      <c r="Z222" s="2602"/>
      <c r="AA222" s="2602"/>
      <c r="AB222" s="2602"/>
      <c r="AC222" s="2602"/>
      <c r="AD222" s="2602"/>
      <c r="AE222" s="2602"/>
      <c r="AF222" s="2602"/>
      <c r="AG222" s="2602"/>
      <c r="AH222" s="2602"/>
      <c r="AI222" s="2602"/>
      <c r="AJ222" s="2602"/>
      <c r="AK222" s="2602"/>
      <c r="AL222" s="2602"/>
      <c r="AM222" s="2602"/>
      <c r="AN222" s="2602"/>
      <c r="AO222" s="2602"/>
      <c r="AP222" s="2398"/>
    </row>
    <row r="223" spans="1:42" s="3908" customFormat="1" ht="81.75" customHeight="1" x14ac:dyDescent="0.2">
      <c r="A223" s="3874"/>
      <c r="B223" s="3874"/>
      <c r="C223" s="3874"/>
      <c r="D223" s="3957"/>
      <c r="E223" s="3957"/>
      <c r="F223" s="3957"/>
      <c r="G223" s="3564"/>
      <c r="H223" s="3611"/>
      <c r="I223" s="2772"/>
      <c r="J223" s="2426"/>
      <c r="K223" s="3904"/>
      <c r="L223" s="2134" t="s">
        <v>2420</v>
      </c>
      <c r="M223" s="2668"/>
      <c r="N223" s="2772"/>
      <c r="O223" s="2669"/>
      <c r="P223" s="2873"/>
      <c r="Q223" s="3986"/>
      <c r="R223" s="2878"/>
      <c r="S223" s="2115" t="s">
        <v>2063</v>
      </c>
      <c r="T223" s="3943">
        <f>7466666+25000000</f>
        <v>32466666</v>
      </c>
      <c r="U223" s="3958" t="s">
        <v>1871</v>
      </c>
      <c r="V223" s="3987" t="s">
        <v>70</v>
      </c>
      <c r="W223" s="2602"/>
      <c r="X223" s="2602"/>
      <c r="Y223" s="2602"/>
      <c r="Z223" s="2602"/>
      <c r="AA223" s="2602"/>
      <c r="AB223" s="2602"/>
      <c r="AC223" s="2602"/>
      <c r="AD223" s="2602"/>
      <c r="AE223" s="2602"/>
      <c r="AF223" s="2602"/>
      <c r="AG223" s="2602"/>
      <c r="AH223" s="2602"/>
      <c r="AI223" s="2602"/>
      <c r="AJ223" s="2602"/>
      <c r="AK223" s="2602"/>
      <c r="AL223" s="2602"/>
      <c r="AM223" s="2602"/>
      <c r="AN223" s="2602"/>
      <c r="AO223" s="2602"/>
      <c r="AP223" s="2398"/>
    </row>
    <row r="224" spans="1:42" s="3908" customFormat="1" ht="81.75" customHeight="1" x14ac:dyDescent="0.2">
      <c r="A224" s="3874"/>
      <c r="B224" s="3874"/>
      <c r="C224" s="3874"/>
      <c r="D224" s="3957"/>
      <c r="E224" s="3957"/>
      <c r="F224" s="3957"/>
      <c r="G224" s="3456"/>
      <c r="H224" s="3612"/>
      <c r="I224" s="2772"/>
      <c r="J224" s="2426"/>
      <c r="K224" s="3904"/>
      <c r="L224" s="2134" t="s">
        <v>2421</v>
      </c>
      <c r="M224" s="2668"/>
      <c r="N224" s="2772"/>
      <c r="O224" s="2669"/>
      <c r="P224" s="2873"/>
      <c r="Q224" s="3986"/>
      <c r="R224" s="2878"/>
      <c r="S224" s="2115" t="s">
        <v>2064</v>
      </c>
      <c r="T224" s="3988">
        <v>2853513</v>
      </c>
      <c r="U224" s="3958" t="s">
        <v>1871</v>
      </c>
      <c r="V224" s="3987" t="s">
        <v>70</v>
      </c>
      <c r="W224" s="2602"/>
      <c r="X224" s="2602"/>
      <c r="Y224" s="2602"/>
      <c r="Z224" s="2602"/>
      <c r="AA224" s="2602"/>
      <c r="AB224" s="2602"/>
      <c r="AC224" s="2602"/>
      <c r="AD224" s="2602"/>
      <c r="AE224" s="2602"/>
      <c r="AF224" s="2602"/>
      <c r="AG224" s="2602"/>
      <c r="AH224" s="2602"/>
      <c r="AI224" s="2602"/>
      <c r="AJ224" s="2602"/>
      <c r="AK224" s="2602"/>
      <c r="AL224" s="2602"/>
      <c r="AM224" s="2602"/>
      <c r="AN224" s="2602"/>
      <c r="AO224" s="2602"/>
      <c r="AP224" s="2398"/>
    </row>
    <row r="225" spans="1:42" s="3908" customFormat="1" ht="28.5" customHeight="1" x14ac:dyDescent="0.2">
      <c r="A225" s="3874"/>
      <c r="B225" s="3874"/>
      <c r="C225" s="3874"/>
      <c r="D225" s="3957"/>
      <c r="E225" s="3957"/>
      <c r="F225" s="3957"/>
      <c r="G225" s="2873">
        <v>1905026</v>
      </c>
      <c r="H225" s="3614">
        <v>12.1</v>
      </c>
      <c r="I225" s="2772" t="s">
        <v>2032</v>
      </c>
      <c r="J225" s="2426" t="s">
        <v>2033</v>
      </c>
      <c r="K225" s="3904">
        <v>12</v>
      </c>
      <c r="L225" s="2134" t="s">
        <v>2422</v>
      </c>
      <c r="M225" s="2668"/>
      <c r="N225" s="2772"/>
      <c r="O225" s="2669">
        <f>SUM(T225:T233)/P216</f>
        <v>0.19241211452316115</v>
      </c>
      <c r="P225" s="2873"/>
      <c r="Q225" s="3986"/>
      <c r="R225" s="2878"/>
      <c r="S225" s="2397" t="s">
        <v>2065</v>
      </c>
      <c r="T225" s="3988">
        <v>3000000</v>
      </c>
      <c r="U225" s="3989" t="s">
        <v>1791</v>
      </c>
      <c r="V225" s="3987" t="s">
        <v>2013</v>
      </c>
      <c r="W225" s="2602"/>
      <c r="X225" s="2602"/>
      <c r="Y225" s="2602"/>
      <c r="Z225" s="2602"/>
      <c r="AA225" s="2602"/>
      <c r="AB225" s="2602"/>
      <c r="AC225" s="2602"/>
      <c r="AD225" s="2602"/>
      <c r="AE225" s="2602"/>
      <c r="AF225" s="2602"/>
      <c r="AG225" s="2602"/>
      <c r="AH225" s="2602"/>
      <c r="AI225" s="2602"/>
      <c r="AJ225" s="2602"/>
      <c r="AK225" s="2602"/>
      <c r="AL225" s="2602"/>
      <c r="AM225" s="2602"/>
      <c r="AN225" s="2602"/>
      <c r="AO225" s="2602"/>
      <c r="AP225" s="2398"/>
    </row>
    <row r="226" spans="1:42" s="3908" customFormat="1" ht="28.5" customHeight="1" x14ac:dyDescent="0.2">
      <c r="A226" s="3874"/>
      <c r="B226" s="3874"/>
      <c r="C226" s="3874"/>
      <c r="D226" s="3957"/>
      <c r="E226" s="3957"/>
      <c r="F226" s="3957"/>
      <c r="G226" s="2873"/>
      <c r="H226" s="3615"/>
      <c r="I226" s="2772"/>
      <c r="J226" s="2426"/>
      <c r="K226" s="3904"/>
      <c r="L226" s="2134" t="s">
        <v>2423</v>
      </c>
      <c r="M226" s="2668"/>
      <c r="N226" s="2772"/>
      <c r="O226" s="2669"/>
      <c r="P226" s="2873"/>
      <c r="Q226" s="3986"/>
      <c r="R226" s="2878"/>
      <c r="S226" s="2398"/>
      <c r="T226" s="3988">
        <v>340860.61</v>
      </c>
      <c r="U226" s="3989" t="s">
        <v>2066</v>
      </c>
      <c r="V226" s="3990" t="s">
        <v>2067</v>
      </c>
      <c r="W226" s="2602"/>
      <c r="X226" s="2602"/>
      <c r="Y226" s="2602"/>
      <c r="Z226" s="2602"/>
      <c r="AA226" s="2602"/>
      <c r="AB226" s="2602"/>
      <c r="AC226" s="2602"/>
      <c r="AD226" s="2602"/>
      <c r="AE226" s="2602"/>
      <c r="AF226" s="2602"/>
      <c r="AG226" s="2602"/>
      <c r="AH226" s="2602"/>
      <c r="AI226" s="2602"/>
      <c r="AJ226" s="2602"/>
      <c r="AK226" s="2602"/>
      <c r="AL226" s="2602"/>
      <c r="AM226" s="2602"/>
      <c r="AN226" s="2602"/>
      <c r="AO226" s="2602"/>
      <c r="AP226" s="2398"/>
    </row>
    <row r="227" spans="1:42" s="3908" customFormat="1" ht="28.5" customHeight="1" x14ac:dyDescent="0.2">
      <c r="A227" s="3874"/>
      <c r="B227" s="3874"/>
      <c r="C227" s="3874"/>
      <c r="D227" s="3957"/>
      <c r="E227" s="3957"/>
      <c r="F227" s="3957"/>
      <c r="G227" s="2873"/>
      <c r="H227" s="3615"/>
      <c r="I227" s="2772"/>
      <c r="J227" s="2426"/>
      <c r="K227" s="3904"/>
      <c r="L227" s="2134" t="s">
        <v>2424</v>
      </c>
      <c r="M227" s="2668"/>
      <c r="N227" s="2772"/>
      <c r="O227" s="2669"/>
      <c r="P227" s="2873"/>
      <c r="Q227" s="3986"/>
      <c r="R227" s="2878"/>
      <c r="S227" s="2398"/>
      <c r="T227" s="3988">
        <f>168116148-168116148</f>
        <v>0</v>
      </c>
      <c r="U227" s="3989" t="s">
        <v>2068</v>
      </c>
      <c r="V227" s="3990" t="s">
        <v>2067</v>
      </c>
      <c r="W227" s="2602"/>
      <c r="X227" s="2602"/>
      <c r="Y227" s="2602"/>
      <c r="Z227" s="2602"/>
      <c r="AA227" s="2602"/>
      <c r="AB227" s="2602"/>
      <c r="AC227" s="2602"/>
      <c r="AD227" s="2602"/>
      <c r="AE227" s="2602"/>
      <c r="AF227" s="2602"/>
      <c r="AG227" s="2602"/>
      <c r="AH227" s="2602"/>
      <c r="AI227" s="2602"/>
      <c r="AJ227" s="2602"/>
      <c r="AK227" s="2602"/>
      <c r="AL227" s="2602"/>
      <c r="AM227" s="2602"/>
      <c r="AN227" s="2602"/>
      <c r="AO227" s="2602"/>
      <c r="AP227" s="2398"/>
    </row>
    <row r="228" spans="1:42" s="3908" customFormat="1" ht="28.5" customHeight="1" x14ac:dyDescent="0.2">
      <c r="A228" s="3874"/>
      <c r="B228" s="3874"/>
      <c r="C228" s="3874"/>
      <c r="D228" s="3957"/>
      <c r="E228" s="3957"/>
      <c r="F228" s="3957"/>
      <c r="G228" s="2873"/>
      <c r="H228" s="3615"/>
      <c r="I228" s="2772"/>
      <c r="J228" s="2426"/>
      <c r="K228" s="3904"/>
      <c r="L228" s="2134" t="s">
        <v>2425</v>
      </c>
      <c r="M228" s="2668"/>
      <c r="N228" s="2772"/>
      <c r="O228" s="2669"/>
      <c r="P228" s="2873"/>
      <c r="Q228" s="3986"/>
      <c r="R228" s="2878"/>
      <c r="S228" s="2398"/>
      <c r="T228" s="3988">
        <v>662000</v>
      </c>
      <c r="U228" s="3989" t="s">
        <v>2069</v>
      </c>
      <c r="V228" s="3990" t="s">
        <v>2067</v>
      </c>
      <c r="W228" s="2602"/>
      <c r="X228" s="2602"/>
      <c r="Y228" s="2602"/>
      <c r="Z228" s="2602"/>
      <c r="AA228" s="2602"/>
      <c r="AB228" s="2602"/>
      <c r="AC228" s="2602"/>
      <c r="AD228" s="2602"/>
      <c r="AE228" s="2602"/>
      <c r="AF228" s="2602"/>
      <c r="AG228" s="2602"/>
      <c r="AH228" s="2602"/>
      <c r="AI228" s="2602"/>
      <c r="AJ228" s="2602"/>
      <c r="AK228" s="2602"/>
      <c r="AL228" s="2602"/>
      <c r="AM228" s="2602"/>
      <c r="AN228" s="2602"/>
      <c r="AO228" s="2602"/>
      <c r="AP228" s="2398"/>
    </row>
    <row r="229" spans="1:42" s="3908" customFormat="1" ht="28.5" customHeight="1" x14ac:dyDescent="0.2">
      <c r="A229" s="3874"/>
      <c r="B229" s="3874"/>
      <c r="C229" s="3874"/>
      <c r="D229" s="3957"/>
      <c r="E229" s="3957"/>
      <c r="F229" s="3957"/>
      <c r="G229" s="2873"/>
      <c r="H229" s="3615"/>
      <c r="I229" s="2772"/>
      <c r="J229" s="2426"/>
      <c r="K229" s="3904"/>
      <c r="L229" s="2134" t="s">
        <v>2426</v>
      </c>
      <c r="M229" s="2668"/>
      <c r="N229" s="2772"/>
      <c r="O229" s="2669"/>
      <c r="P229" s="2873"/>
      <c r="Q229" s="3986"/>
      <c r="R229" s="2878"/>
      <c r="S229" s="2819"/>
      <c r="T229" s="3988">
        <v>158045</v>
      </c>
      <c r="U229" s="3989" t="s">
        <v>2070</v>
      </c>
      <c r="V229" s="3990" t="s">
        <v>2067</v>
      </c>
      <c r="W229" s="2602"/>
      <c r="X229" s="2602"/>
      <c r="Y229" s="2602"/>
      <c r="Z229" s="2602"/>
      <c r="AA229" s="2602"/>
      <c r="AB229" s="2602"/>
      <c r="AC229" s="2602"/>
      <c r="AD229" s="2602"/>
      <c r="AE229" s="2602"/>
      <c r="AF229" s="2602"/>
      <c r="AG229" s="2602"/>
      <c r="AH229" s="2602"/>
      <c r="AI229" s="2602"/>
      <c r="AJ229" s="2602"/>
      <c r="AK229" s="2602"/>
      <c r="AL229" s="2602"/>
      <c r="AM229" s="2602"/>
      <c r="AN229" s="2602"/>
      <c r="AO229" s="2602"/>
      <c r="AP229" s="2398"/>
    </row>
    <row r="230" spans="1:42" s="3908" customFormat="1" ht="52.5" customHeight="1" x14ac:dyDescent="0.2">
      <c r="A230" s="3874"/>
      <c r="B230" s="3874"/>
      <c r="C230" s="3874"/>
      <c r="D230" s="3957"/>
      <c r="E230" s="3957"/>
      <c r="F230" s="3957"/>
      <c r="G230" s="2873"/>
      <c r="H230" s="3615"/>
      <c r="I230" s="2772"/>
      <c r="J230" s="2426"/>
      <c r="K230" s="3904"/>
      <c r="L230" s="2134"/>
      <c r="M230" s="2668"/>
      <c r="N230" s="2772"/>
      <c r="O230" s="2669"/>
      <c r="P230" s="2873"/>
      <c r="Q230" s="3986"/>
      <c r="R230" s="2878"/>
      <c r="S230" s="2115" t="s">
        <v>2071</v>
      </c>
      <c r="T230" s="3988">
        <f>14240000+17400000</f>
        <v>31640000</v>
      </c>
      <c r="U230" s="3989" t="s">
        <v>1791</v>
      </c>
      <c r="V230" s="3990" t="s">
        <v>2013</v>
      </c>
      <c r="W230" s="2602"/>
      <c r="X230" s="2602"/>
      <c r="Y230" s="2602"/>
      <c r="Z230" s="2602"/>
      <c r="AA230" s="2602"/>
      <c r="AB230" s="2602"/>
      <c r="AC230" s="2602"/>
      <c r="AD230" s="2602"/>
      <c r="AE230" s="2602"/>
      <c r="AF230" s="2602"/>
      <c r="AG230" s="2602"/>
      <c r="AH230" s="2602"/>
      <c r="AI230" s="2602"/>
      <c r="AJ230" s="2602"/>
      <c r="AK230" s="2602"/>
      <c r="AL230" s="2602"/>
      <c r="AM230" s="2602"/>
      <c r="AN230" s="2602"/>
      <c r="AO230" s="2602"/>
      <c r="AP230" s="2398"/>
    </row>
    <row r="231" spans="1:42" s="3908" customFormat="1" ht="52.5" customHeight="1" x14ac:dyDescent="0.2">
      <c r="A231" s="3874"/>
      <c r="B231" s="3874"/>
      <c r="C231" s="3874"/>
      <c r="D231" s="3957"/>
      <c r="E231" s="3957"/>
      <c r="F231" s="3957"/>
      <c r="G231" s="2873"/>
      <c r="H231" s="3615"/>
      <c r="I231" s="2772"/>
      <c r="J231" s="2426"/>
      <c r="K231" s="3904"/>
      <c r="L231" s="2134"/>
      <c r="M231" s="2668"/>
      <c r="N231" s="2772"/>
      <c r="O231" s="2669"/>
      <c r="P231" s="2873"/>
      <c r="Q231" s="3986"/>
      <c r="R231" s="2878"/>
      <c r="S231" s="2115" t="s">
        <v>2072</v>
      </c>
      <c r="T231" s="3988">
        <v>1000000</v>
      </c>
      <c r="U231" s="3989" t="s">
        <v>1791</v>
      </c>
      <c r="V231" s="3990" t="s">
        <v>2013</v>
      </c>
      <c r="W231" s="2602"/>
      <c r="X231" s="2602"/>
      <c r="Y231" s="2602"/>
      <c r="Z231" s="2602"/>
      <c r="AA231" s="2602"/>
      <c r="AB231" s="2602"/>
      <c r="AC231" s="2602"/>
      <c r="AD231" s="2602"/>
      <c r="AE231" s="2602"/>
      <c r="AF231" s="2602"/>
      <c r="AG231" s="2602"/>
      <c r="AH231" s="2602"/>
      <c r="AI231" s="2602"/>
      <c r="AJ231" s="2602"/>
      <c r="AK231" s="2602"/>
      <c r="AL231" s="2602"/>
      <c r="AM231" s="2602"/>
      <c r="AN231" s="2602"/>
      <c r="AO231" s="2602"/>
      <c r="AP231" s="2398"/>
    </row>
    <row r="232" spans="1:42" s="3908" customFormat="1" ht="52.5" customHeight="1" x14ac:dyDescent="0.2">
      <c r="A232" s="3874"/>
      <c r="B232" s="3874"/>
      <c r="C232" s="3874"/>
      <c r="D232" s="3957"/>
      <c r="E232" s="3957"/>
      <c r="F232" s="3957"/>
      <c r="G232" s="2873"/>
      <c r="H232" s="3615"/>
      <c r="I232" s="2772"/>
      <c r="J232" s="2426"/>
      <c r="K232" s="3904"/>
      <c r="L232" s="2134"/>
      <c r="M232" s="2668"/>
      <c r="N232" s="2772"/>
      <c r="O232" s="2669"/>
      <c r="P232" s="2873"/>
      <c r="Q232" s="3986"/>
      <c r="R232" s="2878"/>
      <c r="S232" s="2115" t="s">
        <v>2073</v>
      </c>
      <c r="T232" s="3988">
        <v>26000000</v>
      </c>
      <c r="U232" s="3989" t="s">
        <v>1791</v>
      </c>
      <c r="V232" s="3990" t="s">
        <v>2013</v>
      </c>
      <c r="W232" s="2602"/>
      <c r="X232" s="2602"/>
      <c r="Y232" s="2602"/>
      <c r="Z232" s="2602"/>
      <c r="AA232" s="2602"/>
      <c r="AB232" s="2602"/>
      <c r="AC232" s="2602"/>
      <c r="AD232" s="2602"/>
      <c r="AE232" s="2602"/>
      <c r="AF232" s="2602"/>
      <c r="AG232" s="2602"/>
      <c r="AH232" s="2602"/>
      <c r="AI232" s="2602"/>
      <c r="AJ232" s="2602"/>
      <c r="AK232" s="2602"/>
      <c r="AL232" s="2602"/>
      <c r="AM232" s="2602"/>
      <c r="AN232" s="2602"/>
      <c r="AO232" s="2602"/>
      <c r="AP232" s="2398"/>
    </row>
    <row r="233" spans="1:42" s="3908" customFormat="1" ht="52.5" customHeight="1" x14ac:dyDescent="0.2">
      <c r="A233" s="3874"/>
      <c r="B233" s="3874"/>
      <c r="C233" s="3874"/>
      <c r="D233" s="3957"/>
      <c r="E233" s="3957"/>
      <c r="F233" s="3957"/>
      <c r="G233" s="2873"/>
      <c r="H233" s="3616"/>
      <c r="I233" s="2772"/>
      <c r="J233" s="2426"/>
      <c r="K233" s="3904"/>
      <c r="L233" s="3923"/>
      <c r="M233" s="2735"/>
      <c r="N233" s="2871"/>
      <c r="O233" s="2669"/>
      <c r="P233" s="2873"/>
      <c r="Q233" s="3991"/>
      <c r="R233" s="2879"/>
      <c r="S233" s="2115" t="s">
        <v>2074</v>
      </c>
      <c r="T233" s="3927">
        <v>38360000</v>
      </c>
      <c r="U233" s="3989" t="s">
        <v>1791</v>
      </c>
      <c r="V233" s="3990" t="s">
        <v>2013</v>
      </c>
      <c r="W233" s="2603"/>
      <c r="X233" s="2603"/>
      <c r="Y233" s="2603"/>
      <c r="Z233" s="2603"/>
      <c r="AA233" s="2603"/>
      <c r="AB233" s="2603"/>
      <c r="AC233" s="2603"/>
      <c r="AD233" s="2603"/>
      <c r="AE233" s="2603"/>
      <c r="AF233" s="2603"/>
      <c r="AG233" s="2603"/>
      <c r="AH233" s="2603"/>
      <c r="AI233" s="2603"/>
      <c r="AJ233" s="2603"/>
      <c r="AK233" s="2603"/>
      <c r="AL233" s="2603"/>
      <c r="AM233" s="2603"/>
      <c r="AN233" s="2603"/>
      <c r="AO233" s="2603"/>
      <c r="AP233" s="2819"/>
    </row>
    <row r="234" spans="1:42" s="3908" customFormat="1" ht="99" customHeight="1" x14ac:dyDescent="0.2">
      <c r="A234" s="3874"/>
      <c r="B234" s="3874"/>
      <c r="C234" s="3874"/>
      <c r="D234" s="3957"/>
      <c r="E234" s="3957"/>
      <c r="F234" s="3957"/>
      <c r="G234" s="2100">
        <v>1905014</v>
      </c>
      <c r="H234" s="2088">
        <v>12.2</v>
      </c>
      <c r="I234" s="3992" t="s">
        <v>414</v>
      </c>
      <c r="J234" s="3992" t="s">
        <v>439</v>
      </c>
      <c r="K234" s="3942">
        <v>12</v>
      </c>
      <c r="L234" s="2124"/>
      <c r="M234" s="2668" t="s">
        <v>2075</v>
      </c>
      <c r="N234" s="2772" t="s">
        <v>2076</v>
      </c>
      <c r="O234" s="3993">
        <f>SUM(T234)/P234</f>
        <v>0.12537881007076429</v>
      </c>
      <c r="P234" s="3568">
        <f>SUM(T234:T253)</f>
        <v>221841713</v>
      </c>
      <c r="Q234" s="3017" t="s">
        <v>2077</v>
      </c>
      <c r="R234" s="3994" t="s">
        <v>2078</v>
      </c>
      <c r="S234" s="2085" t="s">
        <v>2079</v>
      </c>
      <c r="T234" s="3988">
        <f>8914250+18900000</f>
        <v>27814250</v>
      </c>
      <c r="U234" s="3958" t="s">
        <v>1791</v>
      </c>
      <c r="V234" s="3990" t="s">
        <v>2013</v>
      </c>
      <c r="W234" s="2644">
        <v>289394</v>
      </c>
      <c r="X234" s="2644">
        <v>279112</v>
      </c>
      <c r="Y234" s="2644">
        <v>63164</v>
      </c>
      <c r="Z234" s="2644">
        <v>45607</v>
      </c>
      <c r="AA234" s="2644">
        <v>365607</v>
      </c>
      <c r="AB234" s="2644">
        <f>SUM(AA234*0.45)</f>
        <v>164523.15</v>
      </c>
      <c r="AC234" s="2644">
        <v>75612</v>
      </c>
      <c r="AD234" s="2644">
        <v>2145</v>
      </c>
      <c r="AE234" s="2644">
        <v>12718</v>
      </c>
      <c r="AF234" s="2644">
        <v>26</v>
      </c>
      <c r="AG234" s="2644">
        <v>37</v>
      </c>
      <c r="AH234" s="2644">
        <v>0</v>
      </c>
      <c r="AI234" s="2644">
        <v>0</v>
      </c>
      <c r="AJ234" s="2644">
        <v>78</v>
      </c>
      <c r="AK234" s="2644">
        <v>16897</v>
      </c>
      <c r="AL234" s="2644">
        <v>852</v>
      </c>
      <c r="AM234" s="2644">
        <v>568506</v>
      </c>
      <c r="AN234" s="3939">
        <v>43832</v>
      </c>
      <c r="AO234" s="3939">
        <v>44196</v>
      </c>
      <c r="AP234" s="2846" t="s">
        <v>1739</v>
      </c>
    </row>
    <row r="235" spans="1:42" s="3908" customFormat="1" ht="28.5" customHeight="1" x14ac:dyDescent="0.2">
      <c r="A235" s="3874"/>
      <c r="B235" s="3874"/>
      <c r="C235" s="3874"/>
      <c r="D235" s="3957"/>
      <c r="E235" s="3957"/>
      <c r="F235" s="3957"/>
      <c r="G235" s="2644">
        <v>1905026</v>
      </c>
      <c r="H235" s="3587">
        <v>12.1</v>
      </c>
      <c r="I235" s="2397" t="s">
        <v>2080</v>
      </c>
      <c r="J235" s="2397" t="s">
        <v>2033</v>
      </c>
      <c r="K235" s="3904">
        <v>12</v>
      </c>
      <c r="L235" s="2124"/>
      <c r="M235" s="2668"/>
      <c r="N235" s="2772"/>
      <c r="O235" s="3905">
        <f>SUM(T235:T253)/P234</f>
        <v>0.87462118992923576</v>
      </c>
      <c r="P235" s="3568"/>
      <c r="Q235" s="3017"/>
      <c r="R235" s="3995"/>
      <c r="S235" s="2397" t="s">
        <v>2081</v>
      </c>
      <c r="T235" s="3996">
        <f>14000000-4541113</f>
        <v>9458887</v>
      </c>
      <c r="U235" s="3958" t="s">
        <v>2082</v>
      </c>
      <c r="V235" s="3997" t="s">
        <v>2083</v>
      </c>
      <c r="W235" s="2645"/>
      <c r="X235" s="2645"/>
      <c r="Y235" s="2645"/>
      <c r="Z235" s="2645"/>
      <c r="AA235" s="2645"/>
      <c r="AB235" s="2645"/>
      <c r="AC235" s="2645"/>
      <c r="AD235" s="2645"/>
      <c r="AE235" s="2645"/>
      <c r="AF235" s="2645"/>
      <c r="AG235" s="2645"/>
      <c r="AH235" s="2645"/>
      <c r="AI235" s="2645"/>
      <c r="AJ235" s="2645"/>
      <c r="AK235" s="2645"/>
      <c r="AL235" s="2645"/>
      <c r="AM235" s="2645"/>
      <c r="AN235" s="2645"/>
      <c r="AO235" s="2645"/>
      <c r="AP235" s="2847"/>
    </row>
    <row r="236" spans="1:42" s="3908" customFormat="1" ht="28.5" customHeight="1" x14ac:dyDescent="0.2">
      <c r="A236" s="3874"/>
      <c r="B236" s="3874"/>
      <c r="C236" s="3874"/>
      <c r="D236" s="3957"/>
      <c r="E236" s="3957"/>
      <c r="F236" s="3957"/>
      <c r="G236" s="2645"/>
      <c r="H236" s="3617"/>
      <c r="I236" s="2398"/>
      <c r="J236" s="2398"/>
      <c r="K236" s="3904"/>
      <c r="L236" s="2124"/>
      <c r="M236" s="2668"/>
      <c r="N236" s="2772"/>
      <c r="O236" s="3909"/>
      <c r="P236" s="3568"/>
      <c r="Q236" s="3017"/>
      <c r="R236" s="3995"/>
      <c r="S236" s="2819"/>
      <c r="T236" s="3996">
        <f>1000000+3163033</f>
        <v>4163033</v>
      </c>
      <c r="U236" s="3958" t="s">
        <v>2084</v>
      </c>
      <c r="V236" s="3997" t="s">
        <v>2085</v>
      </c>
      <c r="W236" s="2645"/>
      <c r="X236" s="2645"/>
      <c r="Y236" s="2645"/>
      <c r="Z236" s="2645"/>
      <c r="AA236" s="2645"/>
      <c r="AB236" s="2645"/>
      <c r="AC236" s="2645"/>
      <c r="AD236" s="2645"/>
      <c r="AE236" s="2645"/>
      <c r="AF236" s="2645"/>
      <c r="AG236" s="2645"/>
      <c r="AH236" s="2645"/>
      <c r="AI236" s="2645"/>
      <c r="AJ236" s="2645"/>
      <c r="AK236" s="2645"/>
      <c r="AL236" s="2645"/>
      <c r="AM236" s="2645"/>
      <c r="AN236" s="2645"/>
      <c r="AO236" s="2645"/>
      <c r="AP236" s="2847"/>
    </row>
    <row r="237" spans="1:42" s="3908" customFormat="1" ht="89.25" customHeight="1" x14ac:dyDescent="0.2">
      <c r="A237" s="3874"/>
      <c r="B237" s="3874"/>
      <c r="C237" s="3874"/>
      <c r="D237" s="3957"/>
      <c r="E237" s="3957"/>
      <c r="F237" s="3957"/>
      <c r="G237" s="2645"/>
      <c r="H237" s="3617"/>
      <c r="I237" s="2398"/>
      <c r="J237" s="2398"/>
      <c r="K237" s="3904"/>
      <c r="L237" s="2124"/>
      <c r="M237" s="2668"/>
      <c r="N237" s="2772"/>
      <c r="O237" s="3909"/>
      <c r="P237" s="3568"/>
      <c r="Q237" s="3017"/>
      <c r="R237" s="3995"/>
      <c r="S237" s="2085" t="s">
        <v>2086</v>
      </c>
      <c r="T237" s="3996">
        <v>15000000</v>
      </c>
      <c r="U237" s="3958" t="s">
        <v>2082</v>
      </c>
      <c r="V237" s="3997" t="s">
        <v>2083</v>
      </c>
      <c r="W237" s="2645"/>
      <c r="X237" s="2645"/>
      <c r="Y237" s="2645"/>
      <c r="Z237" s="2645"/>
      <c r="AA237" s="2645"/>
      <c r="AB237" s="2645"/>
      <c r="AC237" s="2645"/>
      <c r="AD237" s="2645"/>
      <c r="AE237" s="2645"/>
      <c r="AF237" s="2645"/>
      <c r="AG237" s="2645"/>
      <c r="AH237" s="2645"/>
      <c r="AI237" s="2645"/>
      <c r="AJ237" s="2645"/>
      <c r="AK237" s="2645"/>
      <c r="AL237" s="2645"/>
      <c r="AM237" s="2645"/>
      <c r="AN237" s="2645"/>
      <c r="AO237" s="2645"/>
      <c r="AP237" s="2847"/>
    </row>
    <row r="238" spans="1:42" s="3908" customFormat="1" ht="28.5" customHeight="1" x14ac:dyDescent="0.2">
      <c r="A238" s="3874"/>
      <c r="B238" s="3874"/>
      <c r="C238" s="3874"/>
      <c r="D238" s="3957"/>
      <c r="E238" s="3957"/>
      <c r="F238" s="3957"/>
      <c r="G238" s="2645"/>
      <c r="H238" s="3617"/>
      <c r="I238" s="2398"/>
      <c r="J238" s="2398"/>
      <c r="K238" s="3904"/>
      <c r="L238" s="2124"/>
      <c r="M238" s="2668"/>
      <c r="N238" s="2772"/>
      <c r="O238" s="3909"/>
      <c r="P238" s="3568"/>
      <c r="Q238" s="3017"/>
      <c r="R238" s="3998"/>
      <c r="S238" s="2772" t="s">
        <v>2087</v>
      </c>
      <c r="T238" s="3999">
        <v>14000000</v>
      </c>
      <c r="U238" s="3958" t="s">
        <v>2082</v>
      </c>
      <c r="V238" s="3997" t="s">
        <v>2083</v>
      </c>
      <c r="W238" s="2645"/>
      <c r="X238" s="2645"/>
      <c r="Y238" s="2645"/>
      <c r="Z238" s="2645"/>
      <c r="AA238" s="2645"/>
      <c r="AB238" s="2645"/>
      <c r="AC238" s="2645"/>
      <c r="AD238" s="2645"/>
      <c r="AE238" s="2645"/>
      <c r="AF238" s="2645"/>
      <c r="AG238" s="2645"/>
      <c r="AH238" s="2645"/>
      <c r="AI238" s="2645"/>
      <c r="AJ238" s="2645"/>
      <c r="AK238" s="2645"/>
      <c r="AL238" s="2645"/>
      <c r="AM238" s="2645"/>
      <c r="AN238" s="2645"/>
      <c r="AO238" s="2645"/>
      <c r="AP238" s="2847"/>
    </row>
    <row r="239" spans="1:42" s="3908" customFormat="1" ht="28.5" customHeight="1" x14ac:dyDescent="0.2">
      <c r="A239" s="3874"/>
      <c r="B239" s="3874"/>
      <c r="C239" s="3874"/>
      <c r="D239" s="3957"/>
      <c r="E239" s="3957"/>
      <c r="F239" s="3957"/>
      <c r="G239" s="2645"/>
      <c r="H239" s="3617"/>
      <c r="I239" s="2398"/>
      <c r="J239" s="2398"/>
      <c r="K239" s="3904"/>
      <c r="L239" s="2124"/>
      <c r="M239" s="2668"/>
      <c r="N239" s="2772"/>
      <c r="O239" s="3909"/>
      <c r="P239" s="3568"/>
      <c r="Q239" s="3017"/>
      <c r="R239" s="3998"/>
      <c r="S239" s="2772"/>
      <c r="T239" s="3999">
        <v>535750</v>
      </c>
      <c r="U239" s="3958" t="s">
        <v>1791</v>
      </c>
      <c r="V239" s="3997" t="s">
        <v>1751</v>
      </c>
      <c r="W239" s="2645"/>
      <c r="X239" s="2645"/>
      <c r="Y239" s="2645"/>
      <c r="Z239" s="2645"/>
      <c r="AA239" s="2645"/>
      <c r="AB239" s="2645"/>
      <c r="AC239" s="2645"/>
      <c r="AD239" s="2645"/>
      <c r="AE239" s="2645"/>
      <c r="AF239" s="2645"/>
      <c r="AG239" s="2645"/>
      <c r="AH239" s="2645"/>
      <c r="AI239" s="2645"/>
      <c r="AJ239" s="2645"/>
      <c r="AK239" s="2645"/>
      <c r="AL239" s="2645"/>
      <c r="AM239" s="2645"/>
      <c r="AN239" s="2645"/>
      <c r="AO239" s="2645"/>
      <c r="AP239" s="2847"/>
    </row>
    <row r="240" spans="1:42" s="3908" customFormat="1" ht="28.5" customHeight="1" x14ac:dyDescent="0.2">
      <c r="A240" s="3874"/>
      <c r="B240" s="3874"/>
      <c r="C240" s="3874"/>
      <c r="D240" s="3957"/>
      <c r="E240" s="3957"/>
      <c r="F240" s="3957"/>
      <c r="G240" s="2645"/>
      <c r="H240" s="3617"/>
      <c r="I240" s="2398"/>
      <c r="J240" s="2398"/>
      <c r="K240" s="3904"/>
      <c r="L240" s="2124"/>
      <c r="M240" s="2668"/>
      <c r="N240" s="2772"/>
      <c r="O240" s="3909"/>
      <c r="P240" s="3568"/>
      <c r="Q240" s="3017"/>
      <c r="R240" s="3998"/>
      <c r="S240" s="2772"/>
      <c r="T240" s="3999">
        <v>1000000</v>
      </c>
      <c r="U240" s="3958" t="s">
        <v>2084</v>
      </c>
      <c r="V240" s="3997" t="s">
        <v>2085</v>
      </c>
      <c r="W240" s="2645"/>
      <c r="X240" s="2645"/>
      <c r="Y240" s="2645"/>
      <c r="Z240" s="2645"/>
      <c r="AA240" s="2645"/>
      <c r="AB240" s="2645"/>
      <c r="AC240" s="2645"/>
      <c r="AD240" s="2645"/>
      <c r="AE240" s="2645"/>
      <c r="AF240" s="2645"/>
      <c r="AG240" s="2645"/>
      <c r="AH240" s="2645"/>
      <c r="AI240" s="2645"/>
      <c r="AJ240" s="2645"/>
      <c r="AK240" s="2645"/>
      <c r="AL240" s="2645"/>
      <c r="AM240" s="2645"/>
      <c r="AN240" s="2645"/>
      <c r="AO240" s="2645"/>
      <c r="AP240" s="2847"/>
    </row>
    <row r="241" spans="1:42" s="3908" customFormat="1" ht="28.5" customHeight="1" x14ac:dyDescent="0.2">
      <c r="A241" s="3874"/>
      <c r="B241" s="3874"/>
      <c r="C241" s="3874"/>
      <c r="D241" s="3957"/>
      <c r="E241" s="3957"/>
      <c r="F241" s="3957"/>
      <c r="G241" s="2645"/>
      <c r="H241" s="3617"/>
      <c r="I241" s="2398"/>
      <c r="J241" s="2398"/>
      <c r="K241" s="3904"/>
      <c r="L241" s="2124" t="s">
        <v>2427</v>
      </c>
      <c r="M241" s="2668"/>
      <c r="N241" s="2772"/>
      <c r="O241" s="3909"/>
      <c r="P241" s="3568"/>
      <c r="Q241" s="3017"/>
      <c r="R241" s="3998"/>
      <c r="S241" s="2772" t="s">
        <v>2088</v>
      </c>
      <c r="T241" s="3999">
        <v>14000000</v>
      </c>
      <c r="U241" s="3958" t="s">
        <v>2082</v>
      </c>
      <c r="V241" s="3997" t="s">
        <v>2083</v>
      </c>
      <c r="W241" s="2645"/>
      <c r="X241" s="2645"/>
      <c r="Y241" s="2645"/>
      <c r="Z241" s="2645"/>
      <c r="AA241" s="2645"/>
      <c r="AB241" s="2645"/>
      <c r="AC241" s="2645"/>
      <c r="AD241" s="2645"/>
      <c r="AE241" s="2645"/>
      <c r="AF241" s="2645"/>
      <c r="AG241" s="2645"/>
      <c r="AH241" s="2645"/>
      <c r="AI241" s="2645"/>
      <c r="AJ241" s="2645"/>
      <c r="AK241" s="2645"/>
      <c r="AL241" s="2645"/>
      <c r="AM241" s="2645"/>
      <c r="AN241" s="2645"/>
      <c r="AO241" s="2645"/>
      <c r="AP241" s="2847"/>
    </row>
    <row r="242" spans="1:42" s="3908" customFormat="1" ht="28.5" customHeight="1" x14ac:dyDescent="0.2">
      <c r="A242" s="3874"/>
      <c r="B242" s="3874"/>
      <c r="C242" s="3874"/>
      <c r="D242" s="3957"/>
      <c r="E242" s="3957"/>
      <c r="F242" s="3957"/>
      <c r="G242" s="2645"/>
      <c r="H242" s="3617"/>
      <c r="I242" s="2398"/>
      <c r="J242" s="2398"/>
      <c r="K242" s="3904"/>
      <c r="L242" s="2124" t="s">
        <v>2428</v>
      </c>
      <c r="M242" s="2668"/>
      <c r="N242" s="2772"/>
      <c r="O242" s="3909"/>
      <c r="P242" s="3568"/>
      <c r="Q242" s="3017"/>
      <c r="R242" s="3998"/>
      <c r="S242" s="2772"/>
      <c r="T242" s="3999">
        <v>1500000</v>
      </c>
      <c r="U242" s="3958" t="s">
        <v>1791</v>
      </c>
      <c r="V242" s="3997" t="s">
        <v>1751</v>
      </c>
      <c r="W242" s="2645"/>
      <c r="X242" s="2645"/>
      <c r="Y242" s="2645"/>
      <c r="Z242" s="2645"/>
      <c r="AA242" s="2645"/>
      <c r="AB242" s="2645"/>
      <c r="AC242" s="2645"/>
      <c r="AD242" s="2645"/>
      <c r="AE242" s="2645"/>
      <c r="AF242" s="2645"/>
      <c r="AG242" s="2645"/>
      <c r="AH242" s="2645"/>
      <c r="AI242" s="2645"/>
      <c r="AJ242" s="2645"/>
      <c r="AK242" s="2645"/>
      <c r="AL242" s="2645"/>
      <c r="AM242" s="2645"/>
      <c r="AN242" s="2645"/>
      <c r="AO242" s="2645"/>
      <c r="AP242" s="2847"/>
    </row>
    <row r="243" spans="1:42" s="3908" customFormat="1" ht="28.5" customHeight="1" x14ac:dyDescent="0.2">
      <c r="A243" s="3874"/>
      <c r="B243" s="3874"/>
      <c r="C243" s="3874"/>
      <c r="D243" s="3957"/>
      <c r="E243" s="3957"/>
      <c r="F243" s="3957"/>
      <c r="G243" s="2645"/>
      <c r="H243" s="3617"/>
      <c r="I243" s="2398"/>
      <c r="J243" s="2398"/>
      <c r="K243" s="3904"/>
      <c r="L243" s="2124" t="s">
        <v>2429</v>
      </c>
      <c r="M243" s="2668"/>
      <c r="N243" s="2772"/>
      <c r="O243" s="3909"/>
      <c r="P243" s="3568"/>
      <c r="Q243" s="3017"/>
      <c r="R243" s="3998"/>
      <c r="S243" s="2772"/>
      <c r="T243" s="3999">
        <v>1000000</v>
      </c>
      <c r="U243" s="3958" t="s">
        <v>2084</v>
      </c>
      <c r="V243" s="3997" t="s">
        <v>2085</v>
      </c>
      <c r="W243" s="2645"/>
      <c r="X243" s="2645"/>
      <c r="Y243" s="2645"/>
      <c r="Z243" s="2645"/>
      <c r="AA243" s="2645"/>
      <c r="AB243" s="2645"/>
      <c r="AC243" s="2645"/>
      <c r="AD243" s="2645"/>
      <c r="AE243" s="2645"/>
      <c r="AF243" s="2645"/>
      <c r="AG243" s="2645"/>
      <c r="AH243" s="2645"/>
      <c r="AI243" s="2645"/>
      <c r="AJ243" s="2645"/>
      <c r="AK243" s="2645"/>
      <c r="AL243" s="2645"/>
      <c r="AM243" s="2645"/>
      <c r="AN243" s="2645"/>
      <c r="AO243" s="2645"/>
      <c r="AP243" s="2847"/>
    </row>
    <row r="244" spans="1:42" s="3908" customFormat="1" ht="28.5" customHeight="1" x14ac:dyDescent="0.2">
      <c r="A244" s="3874"/>
      <c r="B244" s="3874"/>
      <c r="C244" s="3874"/>
      <c r="D244" s="3957"/>
      <c r="E244" s="3957"/>
      <c r="F244" s="3957"/>
      <c r="G244" s="2645"/>
      <c r="H244" s="3617"/>
      <c r="I244" s="2398"/>
      <c r="J244" s="2398"/>
      <c r="K244" s="3904"/>
      <c r="L244" s="2124" t="s">
        <v>2430</v>
      </c>
      <c r="M244" s="2668"/>
      <c r="N244" s="2772"/>
      <c r="O244" s="3909"/>
      <c r="P244" s="3568"/>
      <c r="Q244" s="3017"/>
      <c r="R244" s="3998"/>
      <c r="S244" s="3253" t="s">
        <v>2089</v>
      </c>
      <c r="T244" s="3999">
        <v>13911553</v>
      </c>
      <c r="U244" s="3958" t="s">
        <v>2082</v>
      </c>
      <c r="V244" s="3997" t="s">
        <v>2083</v>
      </c>
      <c r="W244" s="2645"/>
      <c r="X244" s="2645"/>
      <c r="Y244" s="2645"/>
      <c r="Z244" s="2645"/>
      <c r="AA244" s="2645"/>
      <c r="AB244" s="2645"/>
      <c r="AC244" s="2645"/>
      <c r="AD244" s="2645"/>
      <c r="AE244" s="2645"/>
      <c r="AF244" s="2645"/>
      <c r="AG244" s="2645"/>
      <c r="AH244" s="2645"/>
      <c r="AI244" s="2645"/>
      <c r="AJ244" s="2645"/>
      <c r="AK244" s="2645"/>
      <c r="AL244" s="2645"/>
      <c r="AM244" s="2645"/>
      <c r="AN244" s="2645"/>
      <c r="AO244" s="2645"/>
      <c r="AP244" s="2847"/>
    </row>
    <row r="245" spans="1:42" s="3908" customFormat="1" ht="28.5" customHeight="1" x14ac:dyDescent="0.2">
      <c r="A245" s="3874"/>
      <c r="B245" s="3874"/>
      <c r="C245" s="3874"/>
      <c r="D245" s="3957"/>
      <c r="E245" s="3957"/>
      <c r="F245" s="3957"/>
      <c r="G245" s="2645"/>
      <c r="H245" s="3617"/>
      <c r="I245" s="2398"/>
      <c r="J245" s="2398"/>
      <c r="K245" s="3904"/>
      <c r="L245" s="2124"/>
      <c r="M245" s="2668"/>
      <c r="N245" s="2772"/>
      <c r="O245" s="3909"/>
      <c r="P245" s="3568"/>
      <c r="Q245" s="3017"/>
      <c r="R245" s="3998"/>
      <c r="S245" s="3253"/>
      <c r="T245" s="3999">
        <v>6800000</v>
      </c>
      <c r="U245" s="3958" t="s">
        <v>1791</v>
      </c>
      <c r="V245" s="3997" t="s">
        <v>1751</v>
      </c>
      <c r="W245" s="2645"/>
      <c r="X245" s="2645"/>
      <c r="Y245" s="2645"/>
      <c r="Z245" s="2645"/>
      <c r="AA245" s="2645"/>
      <c r="AB245" s="2645"/>
      <c r="AC245" s="2645"/>
      <c r="AD245" s="2645"/>
      <c r="AE245" s="2645"/>
      <c r="AF245" s="2645"/>
      <c r="AG245" s="2645"/>
      <c r="AH245" s="2645"/>
      <c r="AI245" s="2645"/>
      <c r="AJ245" s="2645"/>
      <c r="AK245" s="2645"/>
      <c r="AL245" s="2645"/>
      <c r="AM245" s="2645"/>
      <c r="AN245" s="2645"/>
      <c r="AO245" s="2645"/>
      <c r="AP245" s="2847"/>
    </row>
    <row r="246" spans="1:42" s="3908" customFormat="1" ht="28.5" customHeight="1" x14ac:dyDescent="0.2">
      <c r="A246" s="3874"/>
      <c r="B246" s="3874"/>
      <c r="C246" s="3874"/>
      <c r="D246" s="3957"/>
      <c r="E246" s="3957"/>
      <c r="F246" s="3957"/>
      <c r="G246" s="2645"/>
      <c r="H246" s="3617"/>
      <c r="I246" s="2398"/>
      <c r="J246" s="2398"/>
      <c r="K246" s="3904"/>
      <c r="L246" s="2124"/>
      <c r="M246" s="2668"/>
      <c r="N246" s="2772"/>
      <c r="O246" s="3909"/>
      <c r="P246" s="3568"/>
      <c r="Q246" s="3017"/>
      <c r="R246" s="3998"/>
      <c r="S246" s="2772"/>
      <c r="T246" s="3999">
        <v>1000000</v>
      </c>
      <c r="U246" s="3958" t="s">
        <v>2084</v>
      </c>
      <c r="V246" s="3997" t="s">
        <v>2085</v>
      </c>
      <c r="W246" s="2645"/>
      <c r="X246" s="2645"/>
      <c r="Y246" s="2645"/>
      <c r="Z246" s="2645"/>
      <c r="AA246" s="2645"/>
      <c r="AB246" s="2645"/>
      <c r="AC246" s="2645"/>
      <c r="AD246" s="2645"/>
      <c r="AE246" s="2645"/>
      <c r="AF246" s="2645"/>
      <c r="AG246" s="2645"/>
      <c r="AH246" s="2645"/>
      <c r="AI246" s="2645"/>
      <c r="AJ246" s="2645"/>
      <c r="AK246" s="2645"/>
      <c r="AL246" s="2645"/>
      <c r="AM246" s="2645"/>
      <c r="AN246" s="2645"/>
      <c r="AO246" s="2645"/>
      <c r="AP246" s="2847"/>
    </row>
    <row r="247" spans="1:42" s="3908" customFormat="1" ht="48.75" customHeight="1" x14ac:dyDescent="0.2">
      <c r="A247" s="3874"/>
      <c r="B247" s="3874"/>
      <c r="C247" s="3874"/>
      <c r="D247" s="3957"/>
      <c r="E247" s="3957"/>
      <c r="F247" s="3957"/>
      <c r="G247" s="2645"/>
      <c r="H247" s="3617"/>
      <c r="I247" s="2398"/>
      <c r="J247" s="2398"/>
      <c r="K247" s="3904"/>
      <c r="L247" s="2124"/>
      <c r="M247" s="2668"/>
      <c r="N247" s="2772"/>
      <c r="O247" s="3909"/>
      <c r="P247" s="3568"/>
      <c r="Q247" s="3017"/>
      <c r="R247" s="3998"/>
      <c r="S247" s="2087" t="s">
        <v>2090</v>
      </c>
      <c r="T247" s="3999">
        <v>15000000</v>
      </c>
      <c r="U247" s="3958" t="s">
        <v>2082</v>
      </c>
      <c r="V247" s="3997" t="s">
        <v>2083</v>
      </c>
      <c r="W247" s="2645"/>
      <c r="X247" s="2645"/>
      <c r="Y247" s="2645"/>
      <c r="Z247" s="2645"/>
      <c r="AA247" s="2645"/>
      <c r="AB247" s="2645"/>
      <c r="AC247" s="2645"/>
      <c r="AD247" s="2645"/>
      <c r="AE247" s="2645"/>
      <c r="AF247" s="2645"/>
      <c r="AG247" s="2645"/>
      <c r="AH247" s="2645"/>
      <c r="AI247" s="2645"/>
      <c r="AJ247" s="2645"/>
      <c r="AK247" s="2645"/>
      <c r="AL247" s="2645"/>
      <c r="AM247" s="2645"/>
      <c r="AN247" s="2645"/>
      <c r="AO247" s="2645"/>
      <c r="AP247" s="2847"/>
    </row>
    <row r="248" spans="1:42" s="3908" customFormat="1" ht="28.5" customHeight="1" x14ac:dyDescent="0.2">
      <c r="A248" s="3874"/>
      <c r="B248" s="3874"/>
      <c r="C248" s="3874"/>
      <c r="D248" s="3957"/>
      <c r="E248" s="3957"/>
      <c r="F248" s="3957"/>
      <c r="G248" s="2645"/>
      <c r="H248" s="3617"/>
      <c r="I248" s="2398"/>
      <c r="J248" s="2398"/>
      <c r="K248" s="3904"/>
      <c r="L248" s="2124"/>
      <c r="M248" s="2668"/>
      <c r="N248" s="2772"/>
      <c r="O248" s="3909"/>
      <c r="P248" s="3568"/>
      <c r="Q248" s="3017"/>
      <c r="R248" s="3995"/>
      <c r="S248" s="2398" t="s">
        <v>2091</v>
      </c>
      <c r="T248" s="3996">
        <v>35000000</v>
      </c>
      <c r="U248" s="3958" t="s">
        <v>2082</v>
      </c>
      <c r="V248" s="3997" t="s">
        <v>2083</v>
      </c>
      <c r="W248" s="2645"/>
      <c r="X248" s="2645"/>
      <c r="Y248" s="2645"/>
      <c r="Z248" s="2645"/>
      <c r="AA248" s="2645"/>
      <c r="AB248" s="2645"/>
      <c r="AC248" s="2645"/>
      <c r="AD248" s="2645"/>
      <c r="AE248" s="2645"/>
      <c r="AF248" s="2645"/>
      <c r="AG248" s="2645"/>
      <c r="AH248" s="2645"/>
      <c r="AI248" s="2645"/>
      <c r="AJ248" s="2645"/>
      <c r="AK248" s="2645"/>
      <c r="AL248" s="2645"/>
      <c r="AM248" s="2645"/>
      <c r="AN248" s="2645"/>
      <c r="AO248" s="2645"/>
      <c r="AP248" s="2847"/>
    </row>
    <row r="249" spans="1:42" s="3908" customFormat="1" ht="28.5" customHeight="1" x14ac:dyDescent="0.2">
      <c r="A249" s="3874"/>
      <c r="B249" s="3874"/>
      <c r="C249" s="3874"/>
      <c r="D249" s="3957"/>
      <c r="E249" s="3957"/>
      <c r="F249" s="3957"/>
      <c r="G249" s="2645"/>
      <c r="H249" s="3617"/>
      <c r="I249" s="2398"/>
      <c r="J249" s="2398"/>
      <c r="K249" s="3904"/>
      <c r="L249" s="2124"/>
      <c r="M249" s="2668"/>
      <c r="N249" s="2772"/>
      <c r="O249" s="3909"/>
      <c r="P249" s="3568"/>
      <c r="Q249" s="3017"/>
      <c r="R249" s="3995"/>
      <c r="S249" s="2398"/>
      <c r="T249" s="3996">
        <v>7200000</v>
      </c>
      <c r="U249" s="3958" t="s">
        <v>1791</v>
      </c>
      <c r="V249" s="3997" t="s">
        <v>1751</v>
      </c>
      <c r="W249" s="2645"/>
      <c r="X249" s="2645"/>
      <c r="Y249" s="2645"/>
      <c r="Z249" s="2645"/>
      <c r="AA249" s="2645"/>
      <c r="AB249" s="2645"/>
      <c r="AC249" s="2645"/>
      <c r="AD249" s="2645"/>
      <c r="AE249" s="2645"/>
      <c r="AF249" s="2645"/>
      <c r="AG249" s="2645"/>
      <c r="AH249" s="2645"/>
      <c r="AI249" s="2645"/>
      <c r="AJ249" s="2645"/>
      <c r="AK249" s="2645"/>
      <c r="AL249" s="2645"/>
      <c r="AM249" s="2645"/>
      <c r="AN249" s="2645"/>
      <c r="AO249" s="2645"/>
      <c r="AP249" s="2847"/>
    </row>
    <row r="250" spans="1:42" s="3908" customFormat="1" ht="28.5" customHeight="1" x14ac:dyDescent="0.2">
      <c r="A250" s="3874"/>
      <c r="B250" s="3874"/>
      <c r="C250" s="3874"/>
      <c r="D250" s="3957"/>
      <c r="E250" s="3957"/>
      <c r="F250" s="3957"/>
      <c r="G250" s="2645"/>
      <c r="H250" s="3617"/>
      <c r="I250" s="2398"/>
      <c r="J250" s="2398"/>
      <c r="K250" s="3904"/>
      <c r="L250" s="2124"/>
      <c r="M250" s="2668"/>
      <c r="N250" s="2772"/>
      <c r="O250" s="3909"/>
      <c r="P250" s="3568"/>
      <c r="Q250" s="3017"/>
      <c r="R250" s="3995"/>
      <c r="S250" s="2819"/>
      <c r="T250" s="3996">
        <v>8000000</v>
      </c>
      <c r="U250" s="3958" t="s">
        <v>2084</v>
      </c>
      <c r="V250" s="3997" t="s">
        <v>2085</v>
      </c>
      <c r="W250" s="2645"/>
      <c r="X250" s="2645"/>
      <c r="Y250" s="2645"/>
      <c r="Z250" s="2645"/>
      <c r="AA250" s="2645"/>
      <c r="AB250" s="2645"/>
      <c r="AC250" s="2645"/>
      <c r="AD250" s="2645"/>
      <c r="AE250" s="2645"/>
      <c r="AF250" s="2645"/>
      <c r="AG250" s="2645"/>
      <c r="AH250" s="2645"/>
      <c r="AI250" s="2645"/>
      <c r="AJ250" s="2645"/>
      <c r="AK250" s="2645"/>
      <c r="AL250" s="2645"/>
      <c r="AM250" s="2645"/>
      <c r="AN250" s="2645"/>
      <c r="AO250" s="2645"/>
      <c r="AP250" s="2847"/>
    </row>
    <row r="251" spans="1:42" s="3908" customFormat="1" ht="28.5" customHeight="1" x14ac:dyDescent="0.2">
      <c r="A251" s="3874"/>
      <c r="B251" s="3874"/>
      <c r="C251" s="3874"/>
      <c r="D251" s="3957"/>
      <c r="E251" s="3957"/>
      <c r="F251" s="3957"/>
      <c r="G251" s="2645"/>
      <c r="H251" s="3617"/>
      <c r="I251" s="2398"/>
      <c r="J251" s="2398"/>
      <c r="K251" s="3904"/>
      <c r="L251" s="2124"/>
      <c r="M251" s="2668"/>
      <c r="N251" s="2772"/>
      <c r="O251" s="3909"/>
      <c r="P251" s="3568"/>
      <c r="Q251" s="3017"/>
      <c r="R251" s="3995"/>
      <c r="S251" s="2397" t="s">
        <v>2092</v>
      </c>
      <c r="T251" s="3996">
        <v>35000000</v>
      </c>
      <c r="U251" s="3958" t="s">
        <v>2082</v>
      </c>
      <c r="V251" s="3997" t="s">
        <v>2083</v>
      </c>
      <c r="W251" s="2645"/>
      <c r="X251" s="2645"/>
      <c r="Y251" s="2645"/>
      <c r="Z251" s="2645"/>
      <c r="AA251" s="2645"/>
      <c r="AB251" s="2645"/>
      <c r="AC251" s="2645"/>
      <c r="AD251" s="2645"/>
      <c r="AE251" s="2645"/>
      <c r="AF251" s="2645"/>
      <c r="AG251" s="2645"/>
      <c r="AH251" s="2645"/>
      <c r="AI251" s="2645"/>
      <c r="AJ251" s="2645"/>
      <c r="AK251" s="2645"/>
      <c r="AL251" s="2645"/>
      <c r="AM251" s="2645"/>
      <c r="AN251" s="2645"/>
      <c r="AO251" s="2645"/>
      <c r="AP251" s="2847"/>
    </row>
    <row r="252" spans="1:42" s="3908" customFormat="1" ht="28.5" customHeight="1" x14ac:dyDescent="0.2">
      <c r="A252" s="3874"/>
      <c r="B252" s="3874"/>
      <c r="C252" s="3874"/>
      <c r="D252" s="3957"/>
      <c r="E252" s="3957"/>
      <c r="F252" s="3957"/>
      <c r="G252" s="2645"/>
      <c r="H252" s="3617"/>
      <c r="I252" s="2398"/>
      <c r="J252" s="2398"/>
      <c r="K252" s="3904"/>
      <c r="L252" s="2124"/>
      <c r="M252" s="2668"/>
      <c r="N252" s="2772"/>
      <c r="O252" s="3909"/>
      <c r="P252" s="3568"/>
      <c r="Q252" s="3017"/>
      <c r="R252" s="3995"/>
      <c r="S252" s="2398"/>
      <c r="T252" s="3996">
        <v>1150000</v>
      </c>
      <c r="U252" s="3958" t="s">
        <v>1791</v>
      </c>
      <c r="V252" s="3997" t="s">
        <v>1751</v>
      </c>
      <c r="W252" s="2645"/>
      <c r="X252" s="2645"/>
      <c r="Y252" s="2645"/>
      <c r="Z252" s="2645"/>
      <c r="AA252" s="2645"/>
      <c r="AB252" s="2645"/>
      <c r="AC252" s="2645"/>
      <c r="AD252" s="2645"/>
      <c r="AE252" s="2645"/>
      <c r="AF252" s="2645"/>
      <c r="AG252" s="2645"/>
      <c r="AH252" s="2645"/>
      <c r="AI252" s="2645"/>
      <c r="AJ252" s="2645"/>
      <c r="AK252" s="2645"/>
      <c r="AL252" s="2645"/>
      <c r="AM252" s="2645"/>
      <c r="AN252" s="2645"/>
      <c r="AO252" s="2645"/>
      <c r="AP252" s="2847"/>
    </row>
    <row r="253" spans="1:42" s="3908" customFormat="1" ht="28.5" customHeight="1" x14ac:dyDescent="0.2">
      <c r="A253" s="3874"/>
      <c r="B253" s="3874"/>
      <c r="C253" s="3874"/>
      <c r="D253" s="3957"/>
      <c r="E253" s="3957"/>
      <c r="F253" s="3957"/>
      <c r="G253" s="2646"/>
      <c r="H253" s="3588"/>
      <c r="I253" s="2819"/>
      <c r="J253" s="2819"/>
      <c r="K253" s="3904"/>
      <c r="L253" s="2135"/>
      <c r="M253" s="2668"/>
      <c r="N253" s="2772"/>
      <c r="O253" s="3911"/>
      <c r="P253" s="3101"/>
      <c r="Q253" s="3017"/>
      <c r="R253" s="3995"/>
      <c r="S253" s="2398"/>
      <c r="T253" s="4000">
        <v>10308240</v>
      </c>
      <c r="U253" s="3958" t="s">
        <v>2084</v>
      </c>
      <c r="V253" s="3977" t="s">
        <v>2085</v>
      </c>
      <c r="W253" s="2646"/>
      <c r="X253" s="2646"/>
      <c r="Y253" s="2646"/>
      <c r="Z253" s="2646"/>
      <c r="AA253" s="2646"/>
      <c r="AB253" s="2646"/>
      <c r="AC253" s="2646"/>
      <c r="AD253" s="2646"/>
      <c r="AE253" s="2646"/>
      <c r="AF253" s="2646"/>
      <c r="AG253" s="2646"/>
      <c r="AH253" s="2646"/>
      <c r="AI253" s="2646"/>
      <c r="AJ253" s="2646"/>
      <c r="AK253" s="2646"/>
      <c r="AL253" s="2646"/>
      <c r="AM253" s="2646"/>
      <c r="AN253" s="2646"/>
      <c r="AO253" s="2646"/>
      <c r="AP253" s="2848"/>
    </row>
    <row r="254" spans="1:42" s="3908" customFormat="1" ht="46.5" customHeight="1" x14ac:dyDescent="0.2">
      <c r="A254" s="3874"/>
      <c r="B254" s="3874"/>
      <c r="C254" s="3874"/>
      <c r="D254" s="3957"/>
      <c r="E254" s="3957"/>
      <c r="F254" s="3957"/>
      <c r="G254" s="2644">
        <v>1905026</v>
      </c>
      <c r="H254" s="3587">
        <v>12.1</v>
      </c>
      <c r="I254" s="2397" t="s">
        <v>2032</v>
      </c>
      <c r="J254" s="3041" t="s">
        <v>2033</v>
      </c>
      <c r="K254" s="3904">
        <v>12</v>
      </c>
      <c r="L254" s="2096"/>
      <c r="M254" s="2602" t="s">
        <v>2093</v>
      </c>
      <c r="N254" s="2398" t="s">
        <v>2094</v>
      </c>
      <c r="O254" s="2624">
        <f>SUM(T254:T261)/P254</f>
        <v>1</v>
      </c>
      <c r="P254" s="3619">
        <f>SUM(T254:T261)</f>
        <v>2929870740</v>
      </c>
      <c r="Q254" s="3041" t="s">
        <v>2095</v>
      </c>
      <c r="R254" s="2864" t="s">
        <v>2096</v>
      </c>
      <c r="S254" s="2087" t="s">
        <v>2097</v>
      </c>
      <c r="T254" s="3933">
        <v>50000000</v>
      </c>
      <c r="U254" s="3958" t="s">
        <v>1871</v>
      </c>
      <c r="V254" s="3894" t="s">
        <v>70</v>
      </c>
      <c r="W254" s="3621">
        <v>295972</v>
      </c>
      <c r="X254" s="3621">
        <v>285580</v>
      </c>
      <c r="Y254" s="3621">
        <v>135545</v>
      </c>
      <c r="Z254" s="3621">
        <v>44254</v>
      </c>
      <c r="AA254" s="3621">
        <v>309146</v>
      </c>
      <c r="AB254" s="3621">
        <f>SUM(AA254*0.36)</f>
        <v>111292.56</v>
      </c>
      <c r="AC254" s="3621">
        <v>92607</v>
      </c>
      <c r="AD254" s="3621">
        <v>2145</v>
      </c>
      <c r="AE254" s="3621">
        <v>12718</v>
      </c>
      <c r="AF254" s="3621">
        <v>26</v>
      </c>
      <c r="AG254" s="3621">
        <v>37</v>
      </c>
      <c r="AH254" s="3621">
        <v>0</v>
      </c>
      <c r="AI254" s="3621">
        <v>0</v>
      </c>
      <c r="AJ254" s="3621">
        <v>44350</v>
      </c>
      <c r="AK254" s="3621">
        <v>21944</v>
      </c>
      <c r="AL254" s="3621">
        <v>75687</v>
      </c>
      <c r="AM254" s="3621">
        <f>SUM(AG254:AH254)</f>
        <v>37</v>
      </c>
      <c r="AN254" s="3621">
        <v>43832</v>
      </c>
      <c r="AO254" s="3621">
        <v>44196</v>
      </c>
      <c r="AP254" s="4001" t="s">
        <v>1739</v>
      </c>
    </row>
    <row r="255" spans="1:42" s="3908" customFormat="1" ht="81.75" customHeight="1" x14ac:dyDescent="0.2">
      <c r="A255" s="3874"/>
      <c r="B255" s="3874"/>
      <c r="C255" s="3874"/>
      <c r="D255" s="3957"/>
      <c r="E255" s="3957"/>
      <c r="F255" s="3957"/>
      <c r="G255" s="2645"/>
      <c r="H255" s="3617"/>
      <c r="I255" s="2398"/>
      <c r="J255" s="3042"/>
      <c r="K255" s="3904"/>
      <c r="L255" s="2097"/>
      <c r="M255" s="2602"/>
      <c r="N255" s="2398"/>
      <c r="O255" s="2625"/>
      <c r="P255" s="3620"/>
      <c r="Q255" s="3042"/>
      <c r="R255" s="2864"/>
      <c r="S255" s="2087" t="s">
        <v>2098</v>
      </c>
      <c r="T255" s="3933">
        <v>840213960</v>
      </c>
      <c r="U255" s="3958" t="s">
        <v>1871</v>
      </c>
      <c r="V255" s="3894" t="s">
        <v>70</v>
      </c>
      <c r="W255" s="3622"/>
      <c r="X255" s="3622"/>
      <c r="Y255" s="3622"/>
      <c r="Z255" s="3622"/>
      <c r="AA255" s="3622"/>
      <c r="AB255" s="3622"/>
      <c r="AC255" s="3622"/>
      <c r="AD255" s="3622"/>
      <c r="AE255" s="3622"/>
      <c r="AF255" s="3622"/>
      <c r="AG255" s="3622"/>
      <c r="AH255" s="3622"/>
      <c r="AI255" s="3622"/>
      <c r="AJ255" s="3622"/>
      <c r="AK255" s="3622"/>
      <c r="AL255" s="3622"/>
      <c r="AM255" s="3622"/>
      <c r="AN255" s="3622"/>
      <c r="AO255" s="3622"/>
      <c r="AP255" s="4002"/>
    </row>
    <row r="256" spans="1:42" s="3908" customFormat="1" ht="69" customHeight="1" x14ac:dyDescent="0.2">
      <c r="A256" s="3874"/>
      <c r="B256" s="3874"/>
      <c r="C256" s="3874"/>
      <c r="D256" s="3957"/>
      <c r="E256" s="3957"/>
      <c r="F256" s="3957"/>
      <c r="G256" s="2645"/>
      <c r="H256" s="3617"/>
      <c r="I256" s="2398"/>
      <c r="J256" s="3042"/>
      <c r="K256" s="3904"/>
      <c r="L256" s="2097"/>
      <c r="M256" s="2602"/>
      <c r="N256" s="2398"/>
      <c r="O256" s="2625"/>
      <c r="P256" s="3620"/>
      <c r="Q256" s="3042"/>
      <c r="R256" s="2864"/>
      <c r="S256" s="2087" t="s">
        <v>2099</v>
      </c>
      <c r="T256" s="3933">
        <v>50000000</v>
      </c>
      <c r="U256" s="3958" t="s">
        <v>1871</v>
      </c>
      <c r="V256" s="3894" t="s">
        <v>70</v>
      </c>
      <c r="W256" s="3622"/>
      <c r="X256" s="3622"/>
      <c r="Y256" s="3622"/>
      <c r="Z256" s="3622"/>
      <c r="AA256" s="3622"/>
      <c r="AB256" s="3622"/>
      <c r="AC256" s="3622"/>
      <c r="AD256" s="3622"/>
      <c r="AE256" s="3622"/>
      <c r="AF256" s="3622"/>
      <c r="AG256" s="3622"/>
      <c r="AH256" s="3622"/>
      <c r="AI256" s="3622"/>
      <c r="AJ256" s="3622"/>
      <c r="AK256" s="3622"/>
      <c r="AL256" s="3622"/>
      <c r="AM256" s="3622"/>
      <c r="AN256" s="3622"/>
      <c r="AO256" s="3622"/>
      <c r="AP256" s="4002"/>
    </row>
    <row r="257" spans="1:42" s="3908" customFormat="1" ht="46.5" customHeight="1" x14ac:dyDescent="0.2">
      <c r="A257" s="3874"/>
      <c r="B257" s="3874"/>
      <c r="C257" s="3874"/>
      <c r="D257" s="3957"/>
      <c r="E257" s="3957"/>
      <c r="F257" s="3957"/>
      <c r="G257" s="2645"/>
      <c r="H257" s="3617"/>
      <c r="I257" s="2398"/>
      <c r="J257" s="3042"/>
      <c r="K257" s="3904"/>
      <c r="L257" s="2097" t="s">
        <v>2431</v>
      </c>
      <c r="M257" s="2602"/>
      <c r="N257" s="2398"/>
      <c r="O257" s="2625"/>
      <c r="P257" s="3620"/>
      <c r="Q257" s="3042"/>
      <c r="R257" s="2864"/>
      <c r="S257" s="2087" t="s">
        <v>2100</v>
      </c>
      <c r="T257" s="3933">
        <v>100000000</v>
      </c>
      <c r="U257" s="3958" t="s">
        <v>1871</v>
      </c>
      <c r="V257" s="3894" t="s">
        <v>70</v>
      </c>
      <c r="W257" s="3622"/>
      <c r="X257" s="3622"/>
      <c r="Y257" s="3622"/>
      <c r="Z257" s="3622"/>
      <c r="AA257" s="3622"/>
      <c r="AB257" s="3622"/>
      <c r="AC257" s="3622"/>
      <c r="AD257" s="3622"/>
      <c r="AE257" s="3622"/>
      <c r="AF257" s="3622"/>
      <c r="AG257" s="3622"/>
      <c r="AH257" s="3622"/>
      <c r="AI257" s="3622"/>
      <c r="AJ257" s="3622"/>
      <c r="AK257" s="3622"/>
      <c r="AL257" s="3622"/>
      <c r="AM257" s="3622"/>
      <c r="AN257" s="3622"/>
      <c r="AO257" s="3622"/>
      <c r="AP257" s="4002"/>
    </row>
    <row r="258" spans="1:42" s="3908" customFormat="1" ht="46.5" customHeight="1" x14ac:dyDescent="0.2">
      <c r="A258" s="3874"/>
      <c r="B258" s="3874"/>
      <c r="C258" s="3874"/>
      <c r="D258" s="3957"/>
      <c r="E258" s="3957"/>
      <c r="F258" s="3957"/>
      <c r="G258" s="2645"/>
      <c r="H258" s="3617"/>
      <c r="I258" s="2398"/>
      <c r="J258" s="3042"/>
      <c r="K258" s="3904"/>
      <c r="L258" s="2097" t="s">
        <v>2432</v>
      </c>
      <c r="M258" s="2602"/>
      <c r="N258" s="2398"/>
      <c r="O258" s="2625"/>
      <c r="P258" s="3620"/>
      <c r="Q258" s="3042"/>
      <c r="R258" s="2864"/>
      <c r="S258" s="2087" t="s">
        <v>2101</v>
      </c>
      <c r="T258" s="3933">
        <v>2000000</v>
      </c>
      <c r="U258" s="3958" t="s">
        <v>1871</v>
      </c>
      <c r="V258" s="3894" t="s">
        <v>70</v>
      </c>
      <c r="W258" s="3622"/>
      <c r="X258" s="3622"/>
      <c r="Y258" s="3622"/>
      <c r="Z258" s="3622"/>
      <c r="AA258" s="3622"/>
      <c r="AB258" s="3622"/>
      <c r="AC258" s="3622"/>
      <c r="AD258" s="3622"/>
      <c r="AE258" s="3622"/>
      <c r="AF258" s="3622"/>
      <c r="AG258" s="3622"/>
      <c r="AH258" s="3622"/>
      <c r="AI258" s="3622"/>
      <c r="AJ258" s="3622"/>
      <c r="AK258" s="3622"/>
      <c r="AL258" s="3622"/>
      <c r="AM258" s="3622"/>
      <c r="AN258" s="3622"/>
      <c r="AO258" s="3622"/>
      <c r="AP258" s="4002"/>
    </row>
    <row r="259" spans="1:42" s="3908" customFormat="1" ht="46.5" customHeight="1" x14ac:dyDescent="0.2">
      <c r="A259" s="3874"/>
      <c r="B259" s="3874"/>
      <c r="C259" s="3874"/>
      <c r="D259" s="3957"/>
      <c r="E259" s="3957"/>
      <c r="F259" s="3957"/>
      <c r="G259" s="2645"/>
      <c r="H259" s="3617"/>
      <c r="I259" s="2398"/>
      <c r="J259" s="3042"/>
      <c r="K259" s="3904"/>
      <c r="L259" s="2097"/>
      <c r="M259" s="2602"/>
      <c r="N259" s="2398"/>
      <c r="O259" s="2625"/>
      <c r="P259" s="3620"/>
      <c r="Q259" s="3042"/>
      <c r="R259" s="2864"/>
      <c r="S259" s="2087" t="s">
        <v>2102</v>
      </c>
      <c r="T259" s="3933">
        <v>1237656780</v>
      </c>
      <c r="U259" s="3958" t="s">
        <v>1871</v>
      </c>
      <c r="V259" s="3897" t="s">
        <v>70</v>
      </c>
      <c r="W259" s="3622"/>
      <c r="X259" s="3622"/>
      <c r="Y259" s="3622"/>
      <c r="Z259" s="3622"/>
      <c r="AA259" s="3622"/>
      <c r="AB259" s="3622"/>
      <c r="AC259" s="3622"/>
      <c r="AD259" s="3622"/>
      <c r="AE259" s="3622"/>
      <c r="AF259" s="3622"/>
      <c r="AG259" s="3622"/>
      <c r="AH259" s="3622"/>
      <c r="AI259" s="3622"/>
      <c r="AJ259" s="3622"/>
      <c r="AK259" s="3622"/>
      <c r="AL259" s="3622"/>
      <c r="AM259" s="3622"/>
      <c r="AN259" s="3622"/>
      <c r="AO259" s="3622"/>
      <c r="AP259" s="4002"/>
    </row>
    <row r="260" spans="1:42" s="3908" customFormat="1" ht="46.5" customHeight="1" x14ac:dyDescent="0.2">
      <c r="A260" s="3874"/>
      <c r="B260" s="3874"/>
      <c r="C260" s="3874"/>
      <c r="D260" s="3957"/>
      <c r="E260" s="3957"/>
      <c r="F260" s="3957"/>
      <c r="G260" s="2645"/>
      <c r="H260" s="3617"/>
      <c r="I260" s="2398"/>
      <c r="J260" s="3042"/>
      <c r="K260" s="3904"/>
      <c r="L260" s="2097"/>
      <c r="M260" s="2602"/>
      <c r="N260" s="2398"/>
      <c r="O260" s="2625"/>
      <c r="P260" s="3620"/>
      <c r="Q260" s="3042"/>
      <c r="R260" s="2864"/>
      <c r="S260" s="2087" t="s">
        <v>2103</v>
      </c>
      <c r="T260" s="3933">
        <v>450000000</v>
      </c>
      <c r="U260" s="3958" t="s">
        <v>1871</v>
      </c>
      <c r="V260" s="3897" t="s">
        <v>70</v>
      </c>
      <c r="W260" s="3622"/>
      <c r="X260" s="3622"/>
      <c r="Y260" s="3622"/>
      <c r="Z260" s="3622"/>
      <c r="AA260" s="3622"/>
      <c r="AB260" s="3622"/>
      <c r="AC260" s="3622"/>
      <c r="AD260" s="3622"/>
      <c r="AE260" s="3622"/>
      <c r="AF260" s="3622"/>
      <c r="AG260" s="3622"/>
      <c r="AH260" s="3622"/>
      <c r="AI260" s="3622"/>
      <c r="AJ260" s="3622"/>
      <c r="AK260" s="3622"/>
      <c r="AL260" s="3622"/>
      <c r="AM260" s="3622"/>
      <c r="AN260" s="3622"/>
      <c r="AO260" s="3622"/>
      <c r="AP260" s="4002"/>
    </row>
    <row r="261" spans="1:42" s="3908" customFormat="1" ht="46.5" customHeight="1" x14ac:dyDescent="0.2">
      <c r="A261" s="3874"/>
      <c r="B261" s="3874"/>
      <c r="C261" s="3874"/>
      <c r="D261" s="3957"/>
      <c r="E261" s="3957"/>
      <c r="F261" s="3957"/>
      <c r="G261" s="2645"/>
      <c r="H261" s="3617"/>
      <c r="I261" s="2398"/>
      <c r="J261" s="3042"/>
      <c r="K261" s="3904"/>
      <c r="L261" s="2097"/>
      <c r="M261" s="2602"/>
      <c r="N261" s="2398"/>
      <c r="O261" s="2625"/>
      <c r="P261" s="3620"/>
      <c r="Q261" s="3042"/>
      <c r="R261" s="3353"/>
      <c r="S261" s="2087" t="s">
        <v>2104</v>
      </c>
      <c r="T261" s="3933">
        <v>200000000</v>
      </c>
      <c r="U261" s="3958" t="s">
        <v>1871</v>
      </c>
      <c r="V261" s="4003" t="s">
        <v>70</v>
      </c>
      <c r="W261" s="3623"/>
      <c r="X261" s="3623"/>
      <c r="Y261" s="3623"/>
      <c r="Z261" s="3623"/>
      <c r="AA261" s="3623"/>
      <c r="AB261" s="3623"/>
      <c r="AC261" s="3623"/>
      <c r="AD261" s="3623"/>
      <c r="AE261" s="3623"/>
      <c r="AF261" s="3623"/>
      <c r="AG261" s="3623"/>
      <c r="AH261" s="3623"/>
      <c r="AI261" s="3623"/>
      <c r="AJ261" s="3623"/>
      <c r="AK261" s="3623"/>
      <c r="AL261" s="3623"/>
      <c r="AM261" s="3623"/>
      <c r="AN261" s="3623"/>
      <c r="AO261" s="3623"/>
      <c r="AP261" s="4004"/>
    </row>
    <row r="262" spans="1:42" s="3908" customFormat="1" ht="70.5" customHeight="1" x14ac:dyDescent="0.2">
      <c r="A262" s="3874"/>
      <c r="B262" s="3874"/>
      <c r="C262" s="3874"/>
      <c r="D262" s="3957"/>
      <c r="E262" s="3957"/>
      <c r="F262" s="3957"/>
      <c r="G262" s="2132">
        <v>1905029</v>
      </c>
      <c r="H262" s="2129" t="s">
        <v>2433</v>
      </c>
      <c r="I262" s="2087" t="s">
        <v>2112</v>
      </c>
      <c r="J262" s="2084" t="s">
        <v>2113</v>
      </c>
      <c r="K262" s="3942">
        <v>60</v>
      </c>
      <c r="L262" s="4005" t="s">
        <v>2105</v>
      </c>
      <c r="M262" s="2668" t="s">
        <v>2106</v>
      </c>
      <c r="N262" s="2772" t="s">
        <v>2107</v>
      </c>
      <c r="O262" s="2094">
        <f>SUM(T262)/P262</f>
        <v>0.55555555555555558</v>
      </c>
      <c r="P262" s="3583">
        <f>SUM(T262:T263)</f>
        <v>18000000</v>
      </c>
      <c r="Q262" s="2772" t="s">
        <v>2108</v>
      </c>
      <c r="R262" s="2864" t="s">
        <v>2109</v>
      </c>
      <c r="S262" s="2106" t="s">
        <v>2114</v>
      </c>
      <c r="T262" s="4006">
        <v>10000000</v>
      </c>
      <c r="U262" s="3958" t="s">
        <v>1791</v>
      </c>
      <c r="V262" s="4007" t="s">
        <v>2111</v>
      </c>
      <c r="W262" s="2620">
        <v>292684</v>
      </c>
      <c r="X262" s="2620">
        <v>282326</v>
      </c>
      <c r="Y262" s="2620">
        <v>135912</v>
      </c>
      <c r="Z262" s="2620">
        <v>45122</v>
      </c>
      <c r="AA262" s="2620">
        <v>307101</v>
      </c>
      <c r="AB262" s="2620">
        <f>SUM(AA262*0)</f>
        <v>0</v>
      </c>
      <c r="AC262" s="2620">
        <v>86875</v>
      </c>
      <c r="AD262" s="2620">
        <v>2145</v>
      </c>
      <c r="AE262" s="2620">
        <v>12718</v>
      </c>
      <c r="AF262" s="2620">
        <v>26</v>
      </c>
      <c r="AG262" s="2620">
        <v>37</v>
      </c>
      <c r="AH262" s="2620">
        <v>0</v>
      </c>
      <c r="AI262" s="2620">
        <v>0</v>
      </c>
      <c r="AJ262" s="2620">
        <v>0</v>
      </c>
      <c r="AK262" s="2620">
        <v>41.542999999999999</v>
      </c>
      <c r="AL262" s="2620">
        <v>88.56</v>
      </c>
      <c r="AM262" s="2620">
        <v>575010</v>
      </c>
      <c r="AN262" s="3934">
        <v>43832</v>
      </c>
      <c r="AO262" s="3934">
        <v>44196</v>
      </c>
      <c r="AP262" s="3029" t="s">
        <v>1739</v>
      </c>
    </row>
    <row r="263" spans="1:42" s="3908" customFormat="1" ht="70.5" customHeight="1" x14ac:dyDescent="0.2">
      <c r="A263" s="3874"/>
      <c r="B263" s="3874"/>
      <c r="C263" s="3874"/>
      <c r="D263" s="3957"/>
      <c r="E263" s="3957"/>
      <c r="F263" s="3957"/>
      <c r="G263" s="2132">
        <v>1905026</v>
      </c>
      <c r="H263" s="2091" t="s">
        <v>2434</v>
      </c>
      <c r="I263" s="2087" t="s">
        <v>2032</v>
      </c>
      <c r="J263" s="2084" t="s">
        <v>2033</v>
      </c>
      <c r="K263" s="3942">
        <v>12</v>
      </c>
      <c r="L263" s="4005"/>
      <c r="M263" s="2668"/>
      <c r="N263" s="2772"/>
      <c r="O263" s="2094">
        <f>SUM(T263)/P262</f>
        <v>0.44444444444444442</v>
      </c>
      <c r="P263" s="3583"/>
      <c r="Q263" s="2772"/>
      <c r="R263" s="2864"/>
      <c r="S263" s="2130" t="s">
        <v>2110</v>
      </c>
      <c r="T263" s="3988">
        <v>8000000</v>
      </c>
      <c r="U263" s="3958" t="s">
        <v>1791</v>
      </c>
      <c r="V263" s="4008" t="s">
        <v>2111</v>
      </c>
      <c r="W263" s="3582"/>
      <c r="X263" s="3582"/>
      <c r="Y263" s="3582"/>
      <c r="Z263" s="3582"/>
      <c r="AA263" s="3582"/>
      <c r="AB263" s="3582"/>
      <c r="AC263" s="3582"/>
      <c r="AD263" s="3582"/>
      <c r="AE263" s="3582"/>
      <c r="AF263" s="3582"/>
      <c r="AG263" s="3582"/>
      <c r="AH263" s="3582"/>
      <c r="AI263" s="3582"/>
      <c r="AJ263" s="3582"/>
      <c r="AK263" s="3582"/>
      <c r="AL263" s="3582"/>
      <c r="AM263" s="3582"/>
      <c r="AN263" s="3582"/>
      <c r="AO263" s="3582"/>
      <c r="AP263" s="3031"/>
    </row>
    <row r="264" spans="1:42" s="3908" customFormat="1" ht="53.25" customHeight="1" x14ac:dyDescent="0.2">
      <c r="A264" s="3874"/>
      <c r="B264" s="3874"/>
      <c r="C264" s="3874"/>
      <c r="D264" s="3957"/>
      <c r="E264" s="3957"/>
      <c r="F264" s="3957"/>
      <c r="G264" s="3401">
        <v>1905025</v>
      </c>
      <c r="H264" s="2602">
        <v>12.9</v>
      </c>
      <c r="I264" s="2398" t="s">
        <v>2115</v>
      </c>
      <c r="J264" s="3042" t="s">
        <v>2116</v>
      </c>
      <c r="K264" s="3904">
        <v>12</v>
      </c>
      <c r="L264" s="2097"/>
      <c r="M264" s="2602" t="s">
        <v>2117</v>
      </c>
      <c r="N264" s="2398" t="s">
        <v>2118</v>
      </c>
      <c r="O264" s="2625">
        <f>SUM(T264:T275)/P264</f>
        <v>1</v>
      </c>
      <c r="P264" s="3620">
        <v>75200000</v>
      </c>
      <c r="Q264" s="2398" t="s">
        <v>2119</v>
      </c>
      <c r="R264" s="2878" t="s">
        <v>2120</v>
      </c>
      <c r="S264" s="2115" t="s">
        <v>2121</v>
      </c>
      <c r="T264" s="3988">
        <v>5000000</v>
      </c>
      <c r="U264" s="3958" t="s">
        <v>1791</v>
      </c>
      <c r="V264" s="4007" t="s">
        <v>1751</v>
      </c>
      <c r="W264" s="2644">
        <v>292684</v>
      </c>
      <c r="X264" s="2644">
        <v>282326</v>
      </c>
      <c r="Y264" s="2644">
        <v>135912</v>
      </c>
      <c r="Z264" s="2644">
        <v>45122</v>
      </c>
      <c r="AA264" s="2644">
        <v>0</v>
      </c>
      <c r="AB264" s="2644">
        <f>AA264*0.8</f>
        <v>0</v>
      </c>
      <c r="AC264" s="2644">
        <v>0</v>
      </c>
      <c r="AD264" s="2644">
        <v>2145</v>
      </c>
      <c r="AE264" s="2644">
        <v>12718</v>
      </c>
      <c r="AF264" s="2644">
        <v>26</v>
      </c>
      <c r="AG264" s="2644">
        <v>37</v>
      </c>
      <c r="AH264" s="2644">
        <v>0</v>
      </c>
      <c r="AI264" s="2644">
        <v>0</v>
      </c>
      <c r="AJ264" s="2644">
        <v>53164</v>
      </c>
      <c r="AK264" s="2644">
        <v>16982</v>
      </c>
      <c r="AL264" s="2644">
        <v>60013</v>
      </c>
      <c r="AM264" s="2644">
        <v>575010</v>
      </c>
      <c r="AN264" s="3939">
        <v>43832</v>
      </c>
      <c r="AO264" s="3939">
        <v>44196</v>
      </c>
      <c r="AP264" s="2846" t="s">
        <v>1739</v>
      </c>
    </row>
    <row r="265" spans="1:42" s="3908" customFormat="1" ht="63.75" customHeight="1" x14ac:dyDescent="0.2">
      <c r="A265" s="3874"/>
      <c r="B265" s="3874"/>
      <c r="C265" s="3874"/>
      <c r="D265" s="3957"/>
      <c r="E265" s="3957"/>
      <c r="F265" s="3957"/>
      <c r="G265" s="2645"/>
      <c r="H265" s="2602"/>
      <c r="I265" s="2398"/>
      <c r="J265" s="3042"/>
      <c r="K265" s="3904"/>
      <c r="L265" s="2097"/>
      <c r="M265" s="2602"/>
      <c r="N265" s="2398"/>
      <c r="O265" s="2625"/>
      <c r="P265" s="3620"/>
      <c r="Q265" s="2398"/>
      <c r="R265" s="2878"/>
      <c r="S265" s="2115" t="s">
        <v>2122</v>
      </c>
      <c r="T265" s="3988">
        <v>5000000</v>
      </c>
      <c r="U265" s="3958" t="s">
        <v>1791</v>
      </c>
      <c r="V265" s="4007" t="s">
        <v>1751</v>
      </c>
      <c r="W265" s="2645"/>
      <c r="X265" s="2645"/>
      <c r="Y265" s="2645"/>
      <c r="Z265" s="2645"/>
      <c r="AA265" s="2645"/>
      <c r="AB265" s="2645"/>
      <c r="AC265" s="2645"/>
      <c r="AD265" s="2645"/>
      <c r="AE265" s="2645"/>
      <c r="AF265" s="2645"/>
      <c r="AG265" s="2645"/>
      <c r="AH265" s="2645"/>
      <c r="AI265" s="2645"/>
      <c r="AJ265" s="2645"/>
      <c r="AK265" s="2645"/>
      <c r="AL265" s="2645"/>
      <c r="AM265" s="2645"/>
      <c r="AN265" s="2645"/>
      <c r="AO265" s="2645"/>
      <c r="AP265" s="2847"/>
    </row>
    <row r="266" spans="1:42" s="3908" customFormat="1" ht="73.5" customHeight="1" x14ac:dyDescent="0.2">
      <c r="A266" s="3874"/>
      <c r="B266" s="3874"/>
      <c r="C266" s="3874"/>
      <c r="D266" s="3957"/>
      <c r="E266" s="3957"/>
      <c r="F266" s="3957"/>
      <c r="G266" s="2645"/>
      <c r="H266" s="2602"/>
      <c r="I266" s="2398"/>
      <c r="J266" s="3042"/>
      <c r="K266" s="3904"/>
      <c r="L266" s="2097"/>
      <c r="M266" s="2602"/>
      <c r="N266" s="2398"/>
      <c r="O266" s="2625"/>
      <c r="P266" s="3620"/>
      <c r="Q266" s="2398"/>
      <c r="R266" s="2878"/>
      <c r="S266" s="2115" t="s">
        <v>2123</v>
      </c>
      <c r="T266" s="3988">
        <v>5000000</v>
      </c>
      <c r="U266" s="3958" t="s">
        <v>1791</v>
      </c>
      <c r="V266" s="4007" t="s">
        <v>1751</v>
      </c>
      <c r="W266" s="2645"/>
      <c r="X266" s="2645"/>
      <c r="Y266" s="2645"/>
      <c r="Z266" s="2645"/>
      <c r="AA266" s="2645"/>
      <c r="AB266" s="2645"/>
      <c r="AC266" s="2645"/>
      <c r="AD266" s="2645"/>
      <c r="AE266" s="2645"/>
      <c r="AF266" s="2645"/>
      <c r="AG266" s="2645"/>
      <c r="AH266" s="2645"/>
      <c r="AI266" s="2645"/>
      <c r="AJ266" s="2645"/>
      <c r="AK266" s="2645"/>
      <c r="AL266" s="2645"/>
      <c r="AM266" s="2645"/>
      <c r="AN266" s="2645"/>
      <c r="AO266" s="2645"/>
      <c r="AP266" s="2847"/>
    </row>
    <row r="267" spans="1:42" s="3908" customFormat="1" ht="53.25" customHeight="1" x14ac:dyDescent="0.2">
      <c r="A267" s="3874"/>
      <c r="B267" s="3874"/>
      <c r="C267" s="3874"/>
      <c r="D267" s="3957"/>
      <c r="E267" s="3957"/>
      <c r="F267" s="3957"/>
      <c r="G267" s="2645"/>
      <c r="H267" s="2602"/>
      <c r="I267" s="2398"/>
      <c r="J267" s="3042"/>
      <c r="K267" s="3904"/>
      <c r="L267" s="2097"/>
      <c r="M267" s="2602"/>
      <c r="N267" s="2398"/>
      <c r="O267" s="2625"/>
      <c r="P267" s="3620"/>
      <c r="Q267" s="2398"/>
      <c r="R267" s="2878"/>
      <c r="S267" s="2115" t="s">
        <v>2124</v>
      </c>
      <c r="T267" s="3988">
        <v>7000000</v>
      </c>
      <c r="U267" s="3958" t="s">
        <v>1791</v>
      </c>
      <c r="V267" s="4007" t="s">
        <v>1751</v>
      </c>
      <c r="W267" s="2645"/>
      <c r="X267" s="2645"/>
      <c r="Y267" s="2645"/>
      <c r="Z267" s="2645"/>
      <c r="AA267" s="2645"/>
      <c r="AB267" s="2645"/>
      <c r="AC267" s="2645"/>
      <c r="AD267" s="2645"/>
      <c r="AE267" s="2645"/>
      <c r="AF267" s="2645"/>
      <c r="AG267" s="2645"/>
      <c r="AH267" s="2645"/>
      <c r="AI267" s="2645"/>
      <c r="AJ267" s="2645"/>
      <c r="AK267" s="2645"/>
      <c r="AL267" s="2645"/>
      <c r="AM267" s="2645"/>
      <c r="AN267" s="2645"/>
      <c r="AO267" s="2645"/>
      <c r="AP267" s="2847"/>
    </row>
    <row r="268" spans="1:42" s="3908" customFormat="1" ht="53.25" customHeight="1" x14ac:dyDescent="0.2">
      <c r="A268" s="3874"/>
      <c r="B268" s="3874"/>
      <c r="C268" s="3874"/>
      <c r="D268" s="3957"/>
      <c r="E268" s="3957"/>
      <c r="F268" s="3957"/>
      <c r="G268" s="2645"/>
      <c r="H268" s="2602"/>
      <c r="I268" s="2398"/>
      <c r="J268" s="3042"/>
      <c r="K268" s="3904"/>
      <c r="L268" s="2097"/>
      <c r="M268" s="2602"/>
      <c r="N268" s="2398"/>
      <c r="O268" s="2625"/>
      <c r="P268" s="3620"/>
      <c r="Q268" s="2398"/>
      <c r="R268" s="2878"/>
      <c r="S268" s="2085" t="s">
        <v>2125</v>
      </c>
      <c r="T268" s="4009">
        <v>5000000</v>
      </c>
      <c r="U268" s="3958" t="s">
        <v>1791</v>
      </c>
      <c r="V268" s="4007" t="s">
        <v>1751</v>
      </c>
      <c r="W268" s="2645"/>
      <c r="X268" s="2645"/>
      <c r="Y268" s="2645"/>
      <c r="Z268" s="2645"/>
      <c r="AA268" s="2645"/>
      <c r="AB268" s="2645"/>
      <c r="AC268" s="2645"/>
      <c r="AD268" s="2645"/>
      <c r="AE268" s="2645"/>
      <c r="AF268" s="2645"/>
      <c r="AG268" s="2645"/>
      <c r="AH268" s="2645"/>
      <c r="AI268" s="2645"/>
      <c r="AJ268" s="2645"/>
      <c r="AK268" s="2645"/>
      <c r="AL268" s="2645"/>
      <c r="AM268" s="2645"/>
      <c r="AN268" s="2645"/>
      <c r="AO268" s="2645"/>
      <c r="AP268" s="2847"/>
    </row>
    <row r="269" spans="1:42" s="3908" customFormat="1" ht="53.25" customHeight="1" x14ac:dyDescent="0.2">
      <c r="A269" s="3874"/>
      <c r="B269" s="3874"/>
      <c r="C269" s="3874"/>
      <c r="D269" s="3957"/>
      <c r="E269" s="3957"/>
      <c r="F269" s="3957"/>
      <c r="G269" s="2645"/>
      <c r="H269" s="2602"/>
      <c r="I269" s="2398"/>
      <c r="J269" s="3042"/>
      <c r="K269" s="3904"/>
      <c r="L269" s="2097" t="s">
        <v>2435</v>
      </c>
      <c r="M269" s="2602"/>
      <c r="N269" s="2398"/>
      <c r="O269" s="2625"/>
      <c r="P269" s="3620"/>
      <c r="Q269" s="2398"/>
      <c r="R269" s="2347"/>
      <c r="S269" s="2093" t="s">
        <v>2126</v>
      </c>
      <c r="T269" s="4010">
        <v>5000000</v>
      </c>
      <c r="U269" s="3958" t="s">
        <v>1791</v>
      </c>
      <c r="V269" s="4007" t="s">
        <v>1751</v>
      </c>
      <c r="W269" s="2645"/>
      <c r="X269" s="2645"/>
      <c r="Y269" s="2645"/>
      <c r="Z269" s="2645"/>
      <c r="AA269" s="2645"/>
      <c r="AB269" s="2645"/>
      <c r="AC269" s="2645"/>
      <c r="AD269" s="2645"/>
      <c r="AE269" s="2645"/>
      <c r="AF269" s="2645"/>
      <c r="AG269" s="2645"/>
      <c r="AH269" s="2645"/>
      <c r="AI269" s="2645"/>
      <c r="AJ269" s="2645"/>
      <c r="AK269" s="2645"/>
      <c r="AL269" s="2645"/>
      <c r="AM269" s="2645"/>
      <c r="AN269" s="2645"/>
      <c r="AO269" s="2645"/>
      <c r="AP269" s="2847"/>
    </row>
    <row r="270" spans="1:42" s="3908" customFormat="1" ht="53.25" customHeight="1" x14ac:dyDescent="0.2">
      <c r="A270" s="3874"/>
      <c r="B270" s="3874"/>
      <c r="C270" s="3874"/>
      <c r="D270" s="3957"/>
      <c r="E270" s="3957"/>
      <c r="F270" s="3957"/>
      <c r="G270" s="2645"/>
      <c r="H270" s="2602"/>
      <c r="I270" s="2398"/>
      <c r="J270" s="3042"/>
      <c r="K270" s="3904"/>
      <c r="L270" s="2097" t="s">
        <v>2436</v>
      </c>
      <c r="M270" s="2602"/>
      <c r="N270" s="2398"/>
      <c r="O270" s="2625"/>
      <c r="P270" s="3620"/>
      <c r="Q270" s="2398"/>
      <c r="R270" s="2347"/>
      <c r="S270" s="2084" t="s">
        <v>2127</v>
      </c>
      <c r="T270" s="4010">
        <v>8000000</v>
      </c>
      <c r="U270" s="3958" t="s">
        <v>1791</v>
      </c>
      <c r="V270" s="4007" t="s">
        <v>1751</v>
      </c>
      <c r="W270" s="2645"/>
      <c r="X270" s="2645"/>
      <c r="Y270" s="2645"/>
      <c r="Z270" s="2645"/>
      <c r="AA270" s="2645"/>
      <c r="AB270" s="2645"/>
      <c r="AC270" s="2645"/>
      <c r="AD270" s="2645"/>
      <c r="AE270" s="2645"/>
      <c r="AF270" s="2645"/>
      <c r="AG270" s="2645"/>
      <c r="AH270" s="2645"/>
      <c r="AI270" s="2645"/>
      <c r="AJ270" s="2645"/>
      <c r="AK270" s="2645"/>
      <c r="AL270" s="2645"/>
      <c r="AM270" s="2645"/>
      <c r="AN270" s="2645"/>
      <c r="AO270" s="2645"/>
      <c r="AP270" s="2847"/>
    </row>
    <row r="271" spans="1:42" s="3908" customFormat="1" ht="53.25" customHeight="1" x14ac:dyDescent="0.2">
      <c r="A271" s="3874"/>
      <c r="B271" s="3874"/>
      <c r="C271" s="3874"/>
      <c r="D271" s="3957"/>
      <c r="E271" s="3957"/>
      <c r="F271" s="3957"/>
      <c r="G271" s="2645"/>
      <c r="H271" s="2602"/>
      <c r="I271" s="2398"/>
      <c r="J271" s="3042"/>
      <c r="K271" s="3904"/>
      <c r="L271" s="2097"/>
      <c r="M271" s="2602"/>
      <c r="N271" s="2398"/>
      <c r="O271" s="2625"/>
      <c r="P271" s="3620"/>
      <c r="Q271" s="2398"/>
      <c r="R271" s="2878"/>
      <c r="S271" s="2086" t="s">
        <v>2128</v>
      </c>
      <c r="T271" s="4011">
        <v>7200000</v>
      </c>
      <c r="U271" s="3958" t="s">
        <v>1791</v>
      </c>
      <c r="V271" s="4007" t="s">
        <v>1751</v>
      </c>
      <c r="W271" s="2645"/>
      <c r="X271" s="2645"/>
      <c r="Y271" s="2645"/>
      <c r="Z271" s="2645"/>
      <c r="AA271" s="2645"/>
      <c r="AB271" s="2645"/>
      <c r="AC271" s="2645"/>
      <c r="AD271" s="2645"/>
      <c r="AE271" s="2645"/>
      <c r="AF271" s="2645"/>
      <c r="AG271" s="2645"/>
      <c r="AH271" s="2645"/>
      <c r="AI271" s="2645"/>
      <c r="AJ271" s="2645"/>
      <c r="AK271" s="2645"/>
      <c r="AL271" s="2645"/>
      <c r="AM271" s="2645"/>
      <c r="AN271" s="2645"/>
      <c r="AO271" s="2645"/>
      <c r="AP271" s="2847"/>
    </row>
    <row r="272" spans="1:42" s="3908" customFormat="1" ht="53.25" customHeight="1" x14ac:dyDescent="0.2">
      <c r="A272" s="3874"/>
      <c r="B272" s="3874"/>
      <c r="C272" s="3874"/>
      <c r="D272" s="3957"/>
      <c r="E272" s="3957"/>
      <c r="F272" s="3957"/>
      <c r="G272" s="2645"/>
      <c r="H272" s="2602"/>
      <c r="I272" s="2398"/>
      <c r="J272" s="3042"/>
      <c r="K272" s="3904"/>
      <c r="L272" s="2097"/>
      <c r="M272" s="2602"/>
      <c r="N272" s="2398"/>
      <c r="O272" s="2625"/>
      <c r="P272" s="3620"/>
      <c r="Q272" s="2398"/>
      <c r="R272" s="2347"/>
      <c r="S272" s="2087" t="s">
        <v>2129</v>
      </c>
      <c r="T272" s="3893">
        <v>8000000</v>
      </c>
      <c r="U272" s="3958" t="s">
        <v>1791</v>
      </c>
      <c r="V272" s="4007" t="s">
        <v>1751</v>
      </c>
      <c r="W272" s="2645"/>
      <c r="X272" s="2645"/>
      <c r="Y272" s="2645"/>
      <c r="Z272" s="2645"/>
      <c r="AA272" s="2645"/>
      <c r="AB272" s="2645"/>
      <c r="AC272" s="2645"/>
      <c r="AD272" s="2645"/>
      <c r="AE272" s="2645"/>
      <c r="AF272" s="2645"/>
      <c r="AG272" s="2645"/>
      <c r="AH272" s="2645"/>
      <c r="AI272" s="2645"/>
      <c r="AJ272" s="2645"/>
      <c r="AK272" s="2645"/>
      <c r="AL272" s="2645"/>
      <c r="AM272" s="2645"/>
      <c r="AN272" s="2645"/>
      <c r="AO272" s="2645"/>
      <c r="AP272" s="2847"/>
    </row>
    <row r="273" spans="1:42" s="3908" customFormat="1" ht="53.25" customHeight="1" x14ac:dyDescent="0.2">
      <c r="A273" s="3874"/>
      <c r="B273" s="3874"/>
      <c r="C273" s="3874"/>
      <c r="D273" s="3957"/>
      <c r="E273" s="3957"/>
      <c r="F273" s="3957"/>
      <c r="G273" s="2645"/>
      <c r="H273" s="2602"/>
      <c r="I273" s="2398"/>
      <c r="J273" s="3042"/>
      <c r="K273" s="3904"/>
      <c r="L273" s="2097"/>
      <c r="M273" s="2602"/>
      <c r="N273" s="2398"/>
      <c r="O273" s="2625"/>
      <c r="P273" s="3620"/>
      <c r="Q273" s="2398"/>
      <c r="R273" s="2347"/>
      <c r="S273" s="2087" t="s">
        <v>2130</v>
      </c>
      <c r="T273" s="3893">
        <v>8000000</v>
      </c>
      <c r="U273" s="3958" t="s">
        <v>1791</v>
      </c>
      <c r="V273" s="4007" t="s">
        <v>1751</v>
      </c>
      <c r="W273" s="2645"/>
      <c r="X273" s="2645"/>
      <c r="Y273" s="2645"/>
      <c r="Z273" s="2645"/>
      <c r="AA273" s="2645"/>
      <c r="AB273" s="2645"/>
      <c r="AC273" s="2645"/>
      <c r="AD273" s="2645"/>
      <c r="AE273" s="2645"/>
      <c r="AF273" s="2645"/>
      <c r="AG273" s="2645"/>
      <c r="AH273" s="2645"/>
      <c r="AI273" s="2645"/>
      <c r="AJ273" s="2645"/>
      <c r="AK273" s="2645"/>
      <c r="AL273" s="2645"/>
      <c r="AM273" s="2645"/>
      <c r="AN273" s="2645"/>
      <c r="AO273" s="2645"/>
      <c r="AP273" s="2847"/>
    </row>
    <row r="274" spans="1:42" s="3908" customFormat="1" ht="53.25" customHeight="1" x14ac:dyDescent="0.2">
      <c r="A274" s="3874"/>
      <c r="B274" s="3874"/>
      <c r="C274" s="3874"/>
      <c r="D274" s="3957"/>
      <c r="E274" s="3957"/>
      <c r="F274" s="3957"/>
      <c r="G274" s="2645"/>
      <c r="H274" s="2602"/>
      <c r="I274" s="2398"/>
      <c r="J274" s="3042"/>
      <c r="K274" s="3904"/>
      <c r="L274" s="2097"/>
      <c r="M274" s="2602"/>
      <c r="N274" s="2398"/>
      <c r="O274" s="2625"/>
      <c r="P274" s="3620"/>
      <c r="Q274" s="2398"/>
      <c r="R274" s="2878"/>
      <c r="S274" s="2108" t="s">
        <v>2125</v>
      </c>
      <c r="T274" s="3984">
        <v>6000000</v>
      </c>
      <c r="U274" s="3958" t="s">
        <v>1791</v>
      </c>
      <c r="V274" s="4007" t="s">
        <v>1751</v>
      </c>
      <c r="W274" s="2645"/>
      <c r="X274" s="2645"/>
      <c r="Y274" s="2645"/>
      <c r="Z274" s="2645"/>
      <c r="AA274" s="2645"/>
      <c r="AB274" s="2645"/>
      <c r="AC274" s="2645"/>
      <c r="AD274" s="2645"/>
      <c r="AE274" s="2645"/>
      <c r="AF274" s="2645"/>
      <c r="AG274" s="2645"/>
      <c r="AH274" s="2645"/>
      <c r="AI274" s="2645"/>
      <c r="AJ274" s="2645"/>
      <c r="AK274" s="2645"/>
      <c r="AL274" s="2645"/>
      <c r="AM274" s="2645"/>
      <c r="AN274" s="2645"/>
      <c r="AO274" s="2645"/>
      <c r="AP274" s="2847"/>
    </row>
    <row r="275" spans="1:42" s="3908" customFormat="1" ht="53.25" customHeight="1" x14ac:dyDescent="0.2">
      <c r="A275" s="3874"/>
      <c r="B275" s="3874"/>
      <c r="C275" s="3874"/>
      <c r="D275" s="3957"/>
      <c r="E275" s="3957"/>
      <c r="F275" s="3957"/>
      <c r="G275" s="2645"/>
      <c r="H275" s="2602"/>
      <c r="I275" s="2398"/>
      <c r="J275" s="3042"/>
      <c r="K275" s="3904"/>
      <c r="L275" s="2097"/>
      <c r="M275" s="2602"/>
      <c r="N275" s="2398"/>
      <c r="O275" s="2625"/>
      <c r="P275" s="3620"/>
      <c r="Q275" s="2398"/>
      <c r="R275" s="2878"/>
      <c r="S275" s="2115" t="s">
        <v>2131</v>
      </c>
      <c r="T275" s="3988">
        <v>6000000</v>
      </c>
      <c r="U275" s="3958" t="s">
        <v>1791</v>
      </c>
      <c r="V275" s="4007" t="s">
        <v>1751</v>
      </c>
      <c r="W275" s="2646"/>
      <c r="X275" s="2646"/>
      <c r="Y275" s="2646"/>
      <c r="Z275" s="2646"/>
      <c r="AA275" s="2646"/>
      <c r="AB275" s="2646"/>
      <c r="AC275" s="2646"/>
      <c r="AD275" s="2646"/>
      <c r="AE275" s="2646"/>
      <c r="AF275" s="2646"/>
      <c r="AG275" s="2646"/>
      <c r="AH275" s="2646"/>
      <c r="AI275" s="2646"/>
      <c r="AJ275" s="2646"/>
      <c r="AK275" s="2646"/>
      <c r="AL275" s="2646"/>
      <c r="AM275" s="2646"/>
      <c r="AN275" s="2646"/>
      <c r="AO275" s="2646"/>
      <c r="AP275" s="2848"/>
    </row>
    <row r="276" spans="1:42" s="3908" customFormat="1" ht="45.75" customHeight="1" x14ac:dyDescent="0.2">
      <c r="A276" s="3874"/>
      <c r="B276" s="3874"/>
      <c r="C276" s="3874"/>
      <c r="D276" s="3957"/>
      <c r="E276" s="3957"/>
      <c r="F276" s="3957"/>
      <c r="G276" s="3564">
        <v>1905015</v>
      </c>
      <c r="H276" s="2668">
        <v>12.3</v>
      </c>
      <c r="I276" s="2772" t="s">
        <v>371</v>
      </c>
      <c r="J276" s="3385" t="s">
        <v>2132</v>
      </c>
      <c r="K276" s="3904">
        <v>15</v>
      </c>
      <c r="L276" s="4005" t="s">
        <v>2133</v>
      </c>
      <c r="M276" s="2668" t="s">
        <v>1838</v>
      </c>
      <c r="N276" s="2772" t="s">
        <v>1839</v>
      </c>
      <c r="O276" s="2669">
        <f>SUM(T276:T278)/(P77+P276)</f>
        <v>4.4221449721101785E-2</v>
      </c>
      <c r="P276" s="3583">
        <f>SUM(T276:T278)</f>
        <v>29426107.140000001</v>
      </c>
      <c r="Q276" s="3594" t="s">
        <v>1840</v>
      </c>
      <c r="R276" s="4012" t="s">
        <v>2134</v>
      </c>
      <c r="S276" s="2130" t="s">
        <v>2135</v>
      </c>
      <c r="T276" s="3927">
        <v>9426107.1400000006</v>
      </c>
      <c r="U276" s="3958" t="s">
        <v>2136</v>
      </c>
      <c r="V276" s="4007" t="s">
        <v>1830</v>
      </c>
      <c r="W276" s="2620">
        <v>292684</v>
      </c>
      <c r="X276" s="2620">
        <v>282326</v>
      </c>
      <c r="Y276" s="2620">
        <v>135912</v>
      </c>
      <c r="Z276" s="2620">
        <v>45122</v>
      </c>
      <c r="AA276" s="2620">
        <v>365607</v>
      </c>
      <c r="AB276" s="3605">
        <f>SUM(AA276*0)</f>
        <v>0</v>
      </c>
      <c r="AC276" s="2620">
        <v>75612</v>
      </c>
      <c r="AD276" s="2620">
        <v>2145</v>
      </c>
      <c r="AE276" s="2620">
        <v>12718</v>
      </c>
      <c r="AF276" s="2620">
        <v>26</v>
      </c>
      <c r="AG276" s="2620">
        <v>37</v>
      </c>
      <c r="AH276" s="2620">
        <v>0</v>
      </c>
      <c r="AI276" s="2620">
        <v>0</v>
      </c>
      <c r="AJ276" s="2620">
        <v>53164</v>
      </c>
      <c r="AK276" s="2620">
        <v>16982</v>
      </c>
      <c r="AL276" s="2620">
        <v>60013</v>
      </c>
      <c r="AM276" s="2620">
        <v>575010</v>
      </c>
      <c r="AN276" s="3934">
        <v>43832</v>
      </c>
      <c r="AO276" s="3934">
        <v>44196</v>
      </c>
      <c r="AP276" s="3029" t="s">
        <v>1739</v>
      </c>
    </row>
    <row r="277" spans="1:42" s="3908" customFormat="1" ht="45.75" customHeight="1" x14ac:dyDescent="0.2">
      <c r="A277" s="3874"/>
      <c r="B277" s="3874"/>
      <c r="C277" s="3874"/>
      <c r="D277" s="3957"/>
      <c r="E277" s="3957"/>
      <c r="F277" s="3957"/>
      <c r="G277" s="3564"/>
      <c r="H277" s="2668"/>
      <c r="I277" s="2772"/>
      <c r="J277" s="3385"/>
      <c r="K277" s="3904"/>
      <c r="L277" s="4005"/>
      <c r="M277" s="2668"/>
      <c r="N277" s="2772"/>
      <c r="O277" s="2669"/>
      <c r="P277" s="3583"/>
      <c r="Q277" s="3594"/>
      <c r="R277" s="4012"/>
      <c r="S277" s="2130" t="s">
        <v>2137</v>
      </c>
      <c r="T277" s="3927">
        <v>10000000</v>
      </c>
      <c r="U277" s="3958" t="s">
        <v>2136</v>
      </c>
      <c r="V277" s="4008" t="s">
        <v>1830</v>
      </c>
      <c r="W277" s="2621"/>
      <c r="X277" s="2621"/>
      <c r="Y277" s="2621"/>
      <c r="Z277" s="2621"/>
      <c r="AA277" s="2621"/>
      <c r="AB277" s="3606"/>
      <c r="AC277" s="2621"/>
      <c r="AD277" s="2621"/>
      <c r="AE277" s="2621"/>
      <c r="AF277" s="2621"/>
      <c r="AG277" s="2621"/>
      <c r="AH277" s="2621"/>
      <c r="AI277" s="2621"/>
      <c r="AJ277" s="2621"/>
      <c r="AK277" s="2621"/>
      <c r="AL277" s="2621"/>
      <c r="AM277" s="2621"/>
      <c r="AN277" s="2621"/>
      <c r="AO277" s="2621"/>
      <c r="AP277" s="3030"/>
    </row>
    <row r="278" spans="1:42" s="3908" customFormat="1" ht="45.75" customHeight="1" x14ac:dyDescent="0.2">
      <c r="A278" s="3874"/>
      <c r="B278" s="3874"/>
      <c r="C278" s="3874"/>
      <c r="D278" s="3957"/>
      <c r="E278" s="3957"/>
      <c r="F278" s="3957"/>
      <c r="G278" s="3456"/>
      <c r="H278" s="2735"/>
      <c r="I278" s="2871"/>
      <c r="J278" s="3468"/>
      <c r="K278" s="3904"/>
      <c r="L278" s="4013"/>
      <c r="M278" s="2735"/>
      <c r="N278" s="2871"/>
      <c r="O278" s="3485"/>
      <c r="P278" s="3584"/>
      <c r="Q278" s="4014"/>
      <c r="R278" s="4015"/>
      <c r="S278" s="2104" t="s">
        <v>2138</v>
      </c>
      <c r="T278" s="3927">
        <v>10000000</v>
      </c>
      <c r="U278" s="3958" t="s">
        <v>2136</v>
      </c>
      <c r="V278" s="4008" t="s">
        <v>1830</v>
      </c>
      <c r="W278" s="3582"/>
      <c r="X278" s="3582"/>
      <c r="Y278" s="3582"/>
      <c r="Z278" s="3582"/>
      <c r="AA278" s="3582"/>
      <c r="AB278" s="3607"/>
      <c r="AC278" s="3582"/>
      <c r="AD278" s="3582"/>
      <c r="AE278" s="3582"/>
      <c r="AF278" s="3582"/>
      <c r="AG278" s="3582"/>
      <c r="AH278" s="3582"/>
      <c r="AI278" s="3582"/>
      <c r="AJ278" s="3582"/>
      <c r="AK278" s="3582"/>
      <c r="AL278" s="3582"/>
      <c r="AM278" s="3582"/>
      <c r="AN278" s="3582"/>
      <c r="AO278" s="3582"/>
      <c r="AP278" s="3031"/>
    </row>
    <row r="279" spans="1:42" s="3908" customFormat="1" ht="41.25" customHeight="1" x14ac:dyDescent="0.2">
      <c r="A279" s="3874"/>
      <c r="B279" s="3874"/>
      <c r="C279" s="3874"/>
      <c r="D279" s="3957"/>
      <c r="E279" s="3957"/>
      <c r="F279" s="3957"/>
      <c r="G279" s="3564" t="s">
        <v>52</v>
      </c>
      <c r="H279" s="2668">
        <v>12.15</v>
      </c>
      <c r="I279" s="2864" t="s">
        <v>2139</v>
      </c>
      <c r="J279" s="3385" t="s">
        <v>2140</v>
      </c>
      <c r="K279" s="3904">
        <v>1</v>
      </c>
      <c r="L279" s="4016"/>
      <c r="M279" s="2668" t="s">
        <v>2141</v>
      </c>
      <c r="N279" s="2772" t="s">
        <v>2142</v>
      </c>
      <c r="O279" s="3585">
        <f>SUM(T279:T288)/P279</f>
        <v>1</v>
      </c>
      <c r="P279" s="3583">
        <f>SUM(T279:T288)</f>
        <v>450000000</v>
      </c>
      <c r="Q279" s="3594" t="s">
        <v>2437</v>
      </c>
      <c r="R279" s="4017" t="s">
        <v>2438</v>
      </c>
      <c r="S279" s="2772" t="s">
        <v>2143</v>
      </c>
      <c r="T279" s="4018">
        <f>90213512+150000000</f>
        <v>240213512</v>
      </c>
      <c r="U279" s="3958" t="s">
        <v>1861</v>
      </c>
      <c r="V279" s="4008" t="s">
        <v>227</v>
      </c>
      <c r="W279" s="2620">
        <v>292684</v>
      </c>
      <c r="X279" s="2620">
        <v>282326</v>
      </c>
      <c r="Y279" s="2620">
        <v>135912</v>
      </c>
      <c r="Z279" s="2620">
        <v>45122</v>
      </c>
      <c r="AA279" s="2620">
        <v>365607</v>
      </c>
      <c r="AB279" s="2620">
        <f>SUM(AA279*0.41)</f>
        <v>149898.87</v>
      </c>
      <c r="AC279" s="2620">
        <v>86875</v>
      </c>
      <c r="AD279" s="2620">
        <v>2145</v>
      </c>
      <c r="AE279" s="2620">
        <v>12718</v>
      </c>
      <c r="AF279" s="2620">
        <v>26</v>
      </c>
      <c r="AG279" s="2620">
        <v>37</v>
      </c>
      <c r="AH279" s="2620">
        <v>0</v>
      </c>
      <c r="AI279" s="2620">
        <v>0</v>
      </c>
      <c r="AJ279" s="2620">
        <v>53164</v>
      </c>
      <c r="AK279" s="2620">
        <v>16982</v>
      </c>
      <c r="AL279" s="2620">
        <v>60013</v>
      </c>
      <c r="AM279" s="2620">
        <v>575010</v>
      </c>
      <c r="AN279" s="3934">
        <v>43832</v>
      </c>
      <c r="AO279" s="3934">
        <v>44196</v>
      </c>
      <c r="AP279" s="3029" t="s">
        <v>1739</v>
      </c>
    </row>
    <row r="280" spans="1:42" s="3908" customFormat="1" ht="41.25" customHeight="1" x14ac:dyDescent="0.2">
      <c r="A280" s="3874"/>
      <c r="B280" s="3874"/>
      <c r="C280" s="3874"/>
      <c r="D280" s="3957"/>
      <c r="E280" s="3957"/>
      <c r="F280" s="3957"/>
      <c r="G280" s="3564"/>
      <c r="H280" s="2668"/>
      <c r="I280" s="2864"/>
      <c r="J280" s="3385"/>
      <c r="K280" s="3904"/>
      <c r="L280" s="4019"/>
      <c r="M280" s="2668"/>
      <c r="N280" s="2772"/>
      <c r="O280" s="3585"/>
      <c r="P280" s="3583"/>
      <c r="Q280" s="3594"/>
      <c r="R280" s="4017"/>
      <c r="S280" s="2772"/>
      <c r="T280" s="4018">
        <v>65786488</v>
      </c>
      <c r="U280" s="3958" t="s">
        <v>1871</v>
      </c>
      <c r="V280" s="4008" t="s">
        <v>70</v>
      </c>
      <c r="W280" s="2621"/>
      <c r="X280" s="2621"/>
      <c r="Y280" s="2621"/>
      <c r="Z280" s="2621"/>
      <c r="AA280" s="2621"/>
      <c r="AB280" s="2621"/>
      <c r="AC280" s="2621"/>
      <c r="AD280" s="2621"/>
      <c r="AE280" s="2621"/>
      <c r="AF280" s="2621"/>
      <c r="AG280" s="2621"/>
      <c r="AH280" s="2621"/>
      <c r="AI280" s="2621"/>
      <c r="AJ280" s="2621"/>
      <c r="AK280" s="2621"/>
      <c r="AL280" s="2621"/>
      <c r="AM280" s="2621"/>
      <c r="AN280" s="2621"/>
      <c r="AO280" s="2621"/>
      <c r="AP280" s="3030"/>
    </row>
    <row r="281" spans="1:42" s="3908" customFormat="1" ht="41.25" customHeight="1" x14ac:dyDescent="0.2">
      <c r="A281" s="3874"/>
      <c r="B281" s="3874"/>
      <c r="C281" s="3874"/>
      <c r="D281" s="3957"/>
      <c r="E281" s="3957"/>
      <c r="F281" s="3957"/>
      <c r="G281" s="3564"/>
      <c r="H281" s="2668"/>
      <c r="I281" s="2864"/>
      <c r="J281" s="3385"/>
      <c r="K281" s="3904"/>
      <c r="L281" s="4019"/>
      <c r="M281" s="2668"/>
      <c r="N281" s="2772"/>
      <c r="O281" s="3585"/>
      <c r="P281" s="3583"/>
      <c r="Q281" s="3594"/>
      <c r="R281" s="4017"/>
      <c r="S281" s="2772" t="s">
        <v>2144</v>
      </c>
      <c r="T281" s="4018">
        <v>27718668</v>
      </c>
      <c r="U281" s="3958" t="s">
        <v>1861</v>
      </c>
      <c r="V281" s="4008" t="s">
        <v>227</v>
      </c>
      <c r="W281" s="2621"/>
      <c r="X281" s="2621"/>
      <c r="Y281" s="2621"/>
      <c r="Z281" s="2621"/>
      <c r="AA281" s="2621"/>
      <c r="AB281" s="2621"/>
      <c r="AC281" s="2621"/>
      <c r="AD281" s="2621"/>
      <c r="AE281" s="2621"/>
      <c r="AF281" s="2621"/>
      <c r="AG281" s="2621"/>
      <c r="AH281" s="2621"/>
      <c r="AI281" s="2621"/>
      <c r="AJ281" s="2621"/>
      <c r="AK281" s="2621"/>
      <c r="AL281" s="2621"/>
      <c r="AM281" s="2621"/>
      <c r="AN281" s="2621"/>
      <c r="AO281" s="2621"/>
      <c r="AP281" s="3030"/>
    </row>
    <row r="282" spans="1:42" s="3908" customFormat="1" ht="41.25" customHeight="1" x14ac:dyDescent="0.2">
      <c r="A282" s="3874"/>
      <c r="B282" s="3874"/>
      <c r="C282" s="3874"/>
      <c r="D282" s="3957"/>
      <c r="E282" s="3957"/>
      <c r="F282" s="3957"/>
      <c r="G282" s="3564"/>
      <c r="H282" s="2668"/>
      <c r="I282" s="2864"/>
      <c r="J282" s="3385"/>
      <c r="K282" s="3904"/>
      <c r="L282" s="4019" t="s">
        <v>2439</v>
      </c>
      <c r="M282" s="2668"/>
      <c r="N282" s="2772"/>
      <c r="O282" s="3585"/>
      <c r="P282" s="3583"/>
      <c r="Q282" s="3594"/>
      <c r="R282" s="4017"/>
      <c r="S282" s="2772"/>
      <c r="T282" s="4018">
        <v>12281332</v>
      </c>
      <c r="U282" s="3958" t="s">
        <v>1871</v>
      </c>
      <c r="V282" s="4008" t="s">
        <v>70</v>
      </c>
      <c r="W282" s="2621"/>
      <c r="X282" s="2621"/>
      <c r="Y282" s="2621"/>
      <c r="Z282" s="2621"/>
      <c r="AA282" s="2621"/>
      <c r="AB282" s="2621"/>
      <c r="AC282" s="2621"/>
      <c r="AD282" s="2621"/>
      <c r="AE282" s="2621"/>
      <c r="AF282" s="2621"/>
      <c r="AG282" s="2621"/>
      <c r="AH282" s="2621"/>
      <c r="AI282" s="2621"/>
      <c r="AJ282" s="2621"/>
      <c r="AK282" s="2621"/>
      <c r="AL282" s="2621"/>
      <c r="AM282" s="2621"/>
      <c r="AN282" s="2621"/>
      <c r="AO282" s="2621"/>
      <c r="AP282" s="3030"/>
    </row>
    <row r="283" spans="1:42" s="3908" customFormat="1" ht="41.25" customHeight="1" x14ac:dyDescent="0.2">
      <c r="A283" s="3874"/>
      <c r="B283" s="3874"/>
      <c r="C283" s="3874"/>
      <c r="D283" s="3957"/>
      <c r="E283" s="3957"/>
      <c r="F283" s="3957"/>
      <c r="G283" s="3564"/>
      <c r="H283" s="2668"/>
      <c r="I283" s="2864"/>
      <c r="J283" s="3385"/>
      <c r="K283" s="3904"/>
      <c r="L283" s="4019" t="s">
        <v>2440</v>
      </c>
      <c r="M283" s="2668"/>
      <c r="N283" s="2772"/>
      <c r="O283" s="3585"/>
      <c r="P283" s="3583"/>
      <c r="Q283" s="3594"/>
      <c r="R283" s="4020"/>
      <c r="S283" s="2122" t="s">
        <v>2145</v>
      </c>
      <c r="T283" s="4018">
        <v>42000000</v>
      </c>
      <c r="U283" s="3958" t="s">
        <v>1861</v>
      </c>
      <c r="V283" s="4008" t="s">
        <v>227</v>
      </c>
      <c r="W283" s="2621"/>
      <c r="X283" s="2621"/>
      <c r="Y283" s="2621"/>
      <c r="Z283" s="2621"/>
      <c r="AA283" s="2621"/>
      <c r="AB283" s="2621"/>
      <c r="AC283" s="2621"/>
      <c r="AD283" s="2621"/>
      <c r="AE283" s="2621"/>
      <c r="AF283" s="2621"/>
      <c r="AG283" s="2621"/>
      <c r="AH283" s="2621"/>
      <c r="AI283" s="2621"/>
      <c r="AJ283" s="2621"/>
      <c r="AK283" s="2621"/>
      <c r="AL283" s="2621"/>
      <c r="AM283" s="2621"/>
      <c r="AN283" s="2621"/>
      <c r="AO283" s="2621"/>
      <c r="AP283" s="3030"/>
    </row>
    <row r="284" spans="1:42" s="3908" customFormat="1" ht="31.5" customHeight="1" x14ac:dyDescent="0.2">
      <c r="A284" s="3874"/>
      <c r="B284" s="3874"/>
      <c r="C284" s="3874"/>
      <c r="D284" s="3957"/>
      <c r="E284" s="3957"/>
      <c r="F284" s="3957"/>
      <c r="G284" s="3564"/>
      <c r="H284" s="2668"/>
      <c r="I284" s="2864"/>
      <c r="J284" s="3385"/>
      <c r="K284" s="3904"/>
      <c r="L284" s="4019"/>
      <c r="M284" s="2668"/>
      <c r="N284" s="2772"/>
      <c r="O284" s="3585"/>
      <c r="P284" s="3583"/>
      <c r="Q284" s="3594"/>
      <c r="R284" s="4017"/>
      <c r="S284" s="2772" t="s">
        <v>2146</v>
      </c>
      <c r="T284" s="4018">
        <v>9924668</v>
      </c>
      <c r="U284" s="3958" t="s">
        <v>1861</v>
      </c>
      <c r="V284" s="4008" t="s">
        <v>227</v>
      </c>
      <c r="W284" s="2621"/>
      <c r="X284" s="2621"/>
      <c r="Y284" s="2621"/>
      <c r="Z284" s="2621"/>
      <c r="AA284" s="2621"/>
      <c r="AB284" s="2621"/>
      <c r="AC284" s="2621"/>
      <c r="AD284" s="2621"/>
      <c r="AE284" s="2621"/>
      <c r="AF284" s="2621"/>
      <c r="AG284" s="2621"/>
      <c r="AH284" s="2621"/>
      <c r="AI284" s="2621"/>
      <c r="AJ284" s="2621"/>
      <c r="AK284" s="2621"/>
      <c r="AL284" s="2621"/>
      <c r="AM284" s="2621"/>
      <c r="AN284" s="2621"/>
      <c r="AO284" s="2621"/>
      <c r="AP284" s="3030"/>
    </row>
    <row r="285" spans="1:42" s="3908" customFormat="1" ht="31.5" customHeight="1" x14ac:dyDescent="0.2">
      <c r="A285" s="3874"/>
      <c r="B285" s="3874"/>
      <c r="C285" s="3874"/>
      <c r="D285" s="3957"/>
      <c r="E285" s="3957"/>
      <c r="F285" s="3957"/>
      <c r="G285" s="3564"/>
      <c r="H285" s="2668"/>
      <c r="I285" s="2864"/>
      <c r="J285" s="3385"/>
      <c r="K285" s="3904"/>
      <c r="L285" s="4019"/>
      <c r="M285" s="2668"/>
      <c r="N285" s="2772"/>
      <c r="O285" s="3585"/>
      <c r="P285" s="3583"/>
      <c r="Q285" s="3594"/>
      <c r="R285" s="4017"/>
      <c r="S285" s="2772"/>
      <c r="T285" s="4018">
        <v>20075332</v>
      </c>
      <c r="U285" s="3958" t="s">
        <v>1871</v>
      </c>
      <c r="V285" s="4008" t="s">
        <v>70</v>
      </c>
      <c r="W285" s="2621"/>
      <c r="X285" s="2621"/>
      <c r="Y285" s="2621"/>
      <c r="Z285" s="2621"/>
      <c r="AA285" s="2621"/>
      <c r="AB285" s="2621"/>
      <c r="AC285" s="2621"/>
      <c r="AD285" s="2621"/>
      <c r="AE285" s="2621"/>
      <c r="AF285" s="2621"/>
      <c r="AG285" s="2621"/>
      <c r="AH285" s="2621"/>
      <c r="AI285" s="2621"/>
      <c r="AJ285" s="2621"/>
      <c r="AK285" s="2621"/>
      <c r="AL285" s="2621"/>
      <c r="AM285" s="2621"/>
      <c r="AN285" s="2621"/>
      <c r="AO285" s="2621"/>
      <c r="AP285" s="3030"/>
    </row>
    <row r="286" spans="1:42" s="3908" customFormat="1" ht="30.75" customHeight="1" x14ac:dyDescent="0.2">
      <c r="A286" s="3874"/>
      <c r="B286" s="3874"/>
      <c r="C286" s="3874"/>
      <c r="D286" s="3957"/>
      <c r="E286" s="3957"/>
      <c r="F286" s="3957"/>
      <c r="G286" s="3564"/>
      <c r="H286" s="2668"/>
      <c r="I286" s="2864"/>
      <c r="J286" s="3385"/>
      <c r="K286" s="3904"/>
      <c r="L286" s="4019"/>
      <c r="M286" s="2668"/>
      <c r="N286" s="2772"/>
      <c r="O286" s="3585"/>
      <c r="P286" s="3583"/>
      <c r="Q286" s="3594"/>
      <c r="R286" s="4017"/>
      <c r="S286" s="2772" t="s">
        <v>2147</v>
      </c>
      <c r="T286" s="4018">
        <v>16524668</v>
      </c>
      <c r="U286" s="3958" t="s">
        <v>1861</v>
      </c>
      <c r="V286" s="4008" t="s">
        <v>227</v>
      </c>
      <c r="W286" s="2621"/>
      <c r="X286" s="2621"/>
      <c r="Y286" s="2621"/>
      <c r="Z286" s="2621"/>
      <c r="AA286" s="2621"/>
      <c r="AB286" s="2621"/>
      <c r="AC286" s="2621"/>
      <c r="AD286" s="2621"/>
      <c r="AE286" s="2621"/>
      <c r="AF286" s="2621"/>
      <c r="AG286" s="2621"/>
      <c r="AH286" s="2621"/>
      <c r="AI286" s="2621"/>
      <c r="AJ286" s="2621"/>
      <c r="AK286" s="2621"/>
      <c r="AL286" s="2621"/>
      <c r="AM286" s="2621"/>
      <c r="AN286" s="2621"/>
      <c r="AO286" s="2621"/>
      <c r="AP286" s="3030"/>
    </row>
    <row r="287" spans="1:42" s="3908" customFormat="1" ht="30.75" customHeight="1" x14ac:dyDescent="0.2">
      <c r="A287" s="3874"/>
      <c r="B287" s="3874"/>
      <c r="C287" s="3874"/>
      <c r="D287" s="3957"/>
      <c r="E287" s="3957"/>
      <c r="F287" s="3957"/>
      <c r="G287" s="3564"/>
      <c r="H287" s="2668"/>
      <c r="I287" s="2864"/>
      <c r="J287" s="3385"/>
      <c r="K287" s="3904"/>
      <c r="L287" s="4019"/>
      <c r="M287" s="2668"/>
      <c r="N287" s="2772"/>
      <c r="O287" s="3585"/>
      <c r="P287" s="3583"/>
      <c r="Q287" s="3594"/>
      <c r="R287" s="4017"/>
      <c r="S287" s="2772"/>
      <c r="T287" s="4018">
        <v>13475332</v>
      </c>
      <c r="U287" s="3958" t="s">
        <v>1871</v>
      </c>
      <c r="V287" s="4008" t="s">
        <v>70</v>
      </c>
      <c r="W287" s="2621"/>
      <c r="X287" s="2621"/>
      <c r="Y287" s="2621"/>
      <c r="Z287" s="2621"/>
      <c r="AA287" s="2621"/>
      <c r="AB287" s="2621"/>
      <c r="AC287" s="2621"/>
      <c r="AD287" s="2621"/>
      <c r="AE287" s="2621"/>
      <c r="AF287" s="2621"/>
      <c r="AG287" s="2621"/>
      <c r="AH287" s="2621"/>
      <c r="AI287" s="2621"/>
      <c r="AJ287" s="2621"/>
      <c r="AK287" s="2621"/>
      <c r="AL287" s="2621"/>
      <c r="AM287" s="2621"/>
      <c r="AN287" s="2621"/>
      <c r="AO287" s="2621"/>
      <c r="AP287" s="3030"/>
    </row>
    <row r="288" spans="1:42" s="3908" customFormat="1" ht="41.25" customHeight="1" x14ac:dyDescent="0.2">
      <c r="A288" s="3874"/>
      <c r="B288" s="3874"/>
      <c r="C288" s="3874"/>
      <c r="D288" s="3957"/>
      <c r="E288" s="3957"/>
      <c r="F288" s="3957"/>
      <c r="G288" s="3564"/>
      <c r="H288" s="2668"/>
      <c r="I288" s="2864"/>
      <c r="J288" s="3385"/>
      <c r="K288" s="3904"/>
      <c r="L288" s="4021"/>
      <c r="M288" s="2668"/>
      <c r="N288" s="2772"/>
      <c r="O288" s="3585"/>
      <c r="P288" s="3583"/>
      <c r="Q288" s="3594"/>
      <c r="R288" s="4020"/>
      <c r="S288" s="2127" t="s">
        <v>2148</v>
      </c>
      <c r="T288" s="3941">
        <v>2000000</v>
      </c>
      <c r="U288" s="3958" t="s">
        <v>1861</v>
      </c>
      <c r="V288" s="4022" t="s">
        <v>227</v>
      </c>
      <c r="W288" s="3582"/>
      <c r="X288" s="3582"/>
      <c r="Y288" s="3582"/>
      <c r="Z288" s="3582"/>
      <c r="AA288" s="3582"/>
      <c r="AB288" s="3582"/>
      <c r="AC288" s="3582"/>
      <c r="AD288" s="3582"/>
      <c r="AE288" s="3582"/>
      <c r="AF288" s="3582"/>
      <c r="AG288" s="3582"/>
      <c r="AH288" s="3582"/>
      <c r="AI288" s="3582"/>
      <c r="AJ288" s="3582"/>
      <c r="AK288" s="3582"/>
      <c r="AL288" s="3582"/>
      <c r="AM288" s="3582"/>
      <c r="AN288" s="3582"/>
      <c r="AO288" s="3582"/>
      <c r="AP288" s="3031"/>
    </row>
    <row r="289" spans="1:42" s="3908" customFormat="1" ht="44.25" customHeight="1" x14ac:dyDescent="0.2">
      <c r="A289" s="3874"/>
      <c r="B289" s="3874"/>
      <c r="C289" s="3874"/>
      <c r="D289" s="3957"/>
      <c r="E289" s="3957"/>
      <c r="F289" s="3957"/>
      <c r="G289" s="3971">
        <v>1905031</v>
      </c>
      <c r="H289" s="2602">
        <v>12.14</v>
      </c>
      <c r="I289" s="2398" t="s">
        <v>1914</v>
      </c>
      <c r="J289" s="3042" t="s">
        <v>1915</v>
      </c>
      <c r="K289" s="4023">
        <v>12</v>
      </c>
      <c r="L289" s="2136"/>
      <c r="M289" s="2707" t="s">
        <v>2149</v>
      </c>
      <c r="N289" s="2847" t="s">
        <v>2150</v>
      </c>
      <c r="O289" s="2625">
        <f>SUM(T289:T296)/P289</f>
        <v>1</v>
      </c>
      <c r="P289" s="3620">
        <f>SUM(T289:T296)</f>
        <v>1470826107.49</v>
      </c>
      <c r="Q289" s="2398" t="s">
        <v>2151</v>
      </c>
      <c r="R289" s="2347" t="s">
        <v>2152</v>
      </c>
      <c r="S289" s="2113" t="s">
        <v>2153</v>
      </c>
      <c r="T289" s="4024">
        <v>265848107</v>
      </c>
      <c r="U289" s="3958" t="s">
        <v>1791</v>
      </c>
      <c r="V289" s="3997" t="s">
        <v>1792</v>
      </c>
      <c r="W289" s="2620">
        <v>289394</v>
      </c>
      <c r="X289" s="2620">
        <v>279112</v>
      </c>
      <c r="Y289" s="2620">
        <v>63164</v>
      </c>
      <c r="Z289" s="2620">
        <v>45607</v>
      </c>
      <c r="AA289" s="2620">
        <v>365607</v>
      </c>
      <c r="AB289" s="2620">
        <f>SUM(AA289*0.39)</f>
        <v>142586.73000000001</v>
      </c>
      <c r="AC289" s="2620">
        <v>75612</v>
      </c>
      <c r="AD289" s="2620">
        <v>2145</v>
      </c>
      <c r="AE289" s="2620">
        <v>12718</v>
      </c>
      <c r="AF289" s="2620">
        <v>26</v>
      </c>
      <c r="AG289" s="2620">
        <v>37</v>
      </c>
      <c r="AH289" s="2620">
        <v>0</v>
      </c>
      <c r="AI289" s="2620">
        <v>0</v>
      </c>
      <c r="AJ289" s="2620">
        <v>78</v>
      </c>
      <c r="AK289" s="2620">
        <v>16897</v>
      </c>
      <c r="AL289" s="2620">
        <v>852</v>
      </c>
      <c r="AM289" s="2620">
        <v>568506</v>
      </c>
      <c r="AN289" s="3934">
        <v>43832</v>
      </c>
      <c r="AO289" s="3934">
        <v>44196</v>
      </c>
      <c r="AP289" s="3029" t="s">
        <v>1739</v>
      </c>
    </row>
    <row r="290" spans="1:42" s="3908" customFormat="1" ht="44.25" customHeight="1" x14ac:dyDescent="0.2">
      <c r="A290" s="3874"/>
      <c r="B290" s="3874"/>
      <c r="C290" s="3874"/>
      <c r="D290" s="3957"/>
      <c r="E290" s="3957"/>
      <c r="F290" s="3957"/>
      <c r="G290" s="3971"/>
      <c r="H290" s="2602"/>
      <c r="I290" s="2398"/>
      <c r="J290" s="3042"/>
      <c r="K290" s="4025"/>
      <c r="L290" s="2136"/>
      <c r="M290" s="2668"/>
      <c r="N290" s="2847"/>
      <c r="O290" s="2625"/>
      <c r="P290" s="3620"/>
      <c r="Q290" s="2398"/>
      <c r="R290" s="2347"/>
      <c r="S290" s="2113" t="s">
        <v>2154</v>
      </c>
      <c r="T290" s="4024">
        <v>37200000</v>
      </c>
      <c r="U290" s="3958" t="s">
        <v>1791</v>
      </c>
      <c r="V290" s="3997" t="s">
        <v>1792</v>
      </c>
      <c r="W290" s="2621"/>
      <c r="X290" s="2621"/>
      <c r="Y290" s="2621"/>
      <c r="Z290" s="2621"/>
      <c r="AA290" s="2621"/>
      <c r="AB290" s="2621"/>
      <c r="AC290" s="2621"/>
      <c r="AD290" s="2621"/>
      <c r="AE290" s="2621"/>
      <c r="AF290" s="2621"/>
      <c r="AG290" s="2621"/>
      <c r="AH290" s="2621"/>
      <c r="AI290" s="2621"/>
      <c r="AJ290" s="2621"/>
      <c r="AK290" s="2621"/>
      <c r="AL290" s="2621"/>
      <c r="AM290" s="2621"/>
      <c r="AN290" s="2621"/>
      <c r="AO290" s="2621"/>
      <c r="AP290" s="3030"/>
    </row>
    <row r="291" spans="1:42" s="3908" customFormat="1" ht="44.25" customHeight="1" x14ac:dyDescent="0.2">
      <c r="A291" s="3874"/>
      <c r="B291" s="3874"/>
      <c r="C291" s="3874"/>
      <c r="D291" s="3957"/>
      <c r="E291" s="3957"/>
      <c r="F291" s="3957"/>
      <c r="G291" s="3971"/>
      <c r="H291" s="2602"/>
      <c r="I291" s="2398"/>
      <c r="J291" s="3042"/>
      <c r="K291" s="4025"/>
      <c r="L291" s="2136" t="s">
        <v>2441</v>
      </c>
      <c r="M291" s="2668"/>
      <c r="N291" s="2847"/>
      <c r="O291" s="2625"/>
      <c r="P291" s="3620"/>
      <c r="Q291" s="2398"/>
      <c r="R291" s="2878"/>
      <c r="S291" s="2113" t="s">
        <v>2155</v>
      </c>
      <c r="T291" s="3943">
        <v>326500000</v>
      </c>
      <c r="U291" s="3958" t="s">
        <v>1791</v>
      </c>
      <c r="V291" s="3997" t="s">
        <v>1792</v>
      </c>
      <c r="W291" s="2621"/>
      <c r="X291" s="2621"/>
      <c r="Y291" s="2621"/>
      <c r="Z291" s="2621"/>
      <c r="AA291" s="2621"/>
      <c r="AB291" s="2621"/>
      <c r="AC291" s="2621"/>
      <c r="AD291" s="2621"/>
      <c r="AE291" s="2621"/>
      <c r="AF291" s="2621"/>
      <c r="AG291" s="2621"/>
      <c r="AH291" s="2621"/>
      <c r="AI291" s="2621"/>
      <c r="AJ291" s="2621"/>
      <c r="AK291" s="2621"/>
      <c r="AL291" s="2621"/>
      <c r="AM291" s="2621"/>
      <c r="AN291" s="2621"/>
      <c r="AO291" s="2621"/>
      <c r="AP291" s="3030"/>
    </row>
    <row r="292" spans="1:42" s="3908" customFormat="1" ht="44.25" customHeight="1" x14ac:dyDescent="0.2">
      <c r="A292" s="3874"/>
      <c r="B292" s="3874"/>
      <c r="C292" s="3874"/>
      <c r="D292" s="3957"/>
      <c r="E292" s="3957"/>
      <c r="F292" s="3957"/>
      <c r="G292" s="3971"/>
      <c r="H292" s="2602"/>
      <c r="I292" s="2398"/>
      <c r="J292" s="3042"/>
      <c r="K292" s="4025"/>
      <c r="L292" s="2136" t="s">
        <v>2442</v>
      </c>
      <c r="M292" s="2668"/>
      <c r="N292" s="2847"/>
      <c r="O292" s="2625"/>
      <c r="P292" s="3620"/>
      <c r="Q292" s="2398"/>
      <c r="R292" s="2878"/>
      <c r="S292" s="2113" t="s">
        <v>2156</v>
      </c>
      <c r="T292" s="3943">
        <v>130000000</v>
      </c>
      <c r="U292" s="3958" t="s">
        <v>1791</v>
      </c>
      <c r="V292" s="3997" t="s">
        <v>1792</v>
      </c>
      <c r="W292" s="2621"/>
      <c r="X292" s="2621"/>
      <c r="Y292" s="2621"/>
      <c r="Z292" s="2621"/>
      <c r="AA292" s="2621"/>
      <c r="AB292" s="2621"/>
      <c r="AC292" s="2621"/>
      <c r="AD292" s="2621"/>
      <c r="AE292" s="2621"/>
      <c r="AF292" s="2621"/>
      <c r="AG292" s="2621"/>
      <c r="AH292" s="2621"/>
      <c r="AI292" s="2621"/>
      <c r="AJ292" s="2621"/>
      <c r="AK292" s="2621"/>
      <c r="AL292" s="2621"/>
      <c r="AM292" s="2621"/>
      <c r="AN292" s="2621"/>
      <c r="AO292" s="2621"/>
      <c r="AP292" s="3030"/>
    </row>
    <row r="293" spans="1:42" s="3908" customFormat="1" ht="44.25" customHeight="1" x14ac:dyDescent="0.2">
      <c r="A293" s="3874"/>
      <c r="B293" s="3874"/>
      <c r="C293" s="3874"/>
      <c r="D293" s="3957"/>
      <c r="E293" s="3957"/>
      <c r="F293" s="3957"/>
      <c r="G293" s="3971"/>
      <c r="H293" s="2602"/>
      <c r="I293" s="2398"/>
      <c r="J293" s="3042"/>
      <c r="K293" s="4025"/>
      <c r="L293" s="2136" t="s">
        <v>2443</v>
      </c>
      <c r="M293" s="2668"/>
      <c r="N293" s="2847"/>
      <c r="O293" s="2625"/>
      <c r="P293" s="3620"/>
      <c r="Q293" s="2398"/>
      <c r="R293" s="2878"/>
      <c r="S293" s="2982" t="s">
        <v>2157</v>
      </c>
      <c r="T293" s="3943">
        <v>40241227</v>
      </c>
      <c r="U293" s="3958" t="s">
        <v>1791</v>
      </c>
      <c r="V293" s="3997" t="s">
        <v>1792</v>
      </c>
      <c r="W293" s="2621"/>
      <c r="X293" s="2621"/>
      <c r="Y293" s="2621"/>
      <c r="Z293" s="2621"/>
      <c r="AA293" s="2621"/>
      <c r="AB293" s="2621"/>
      <c r="AC293" s="2621"/>
      <c r="AD293" s="2621"/>
      <c r="AE293" s="2621"/>
      <c r="AF293" s="2621"/>
      <c r="AG293" s="2621"/>
      <c r="AH293" s="2621"/>
      <c r="AI293" s="2621"/>
      <c r="AJ293" s="2621"/>
      <c r="AK293" s="2621"/>
      <c r="AL293" s="2621"/>
      <c r="AM293" s="2621"/>
      <c r="AN293" s="2621"/>
      <c r="AO293" s="2621"/>
      <c r="AP293" s="3030"/>
    </row>
    <row r="294" spans="1:42" s="3908" customFormat="1" ht="44.25" customHeight="1" x14ac:dyDescent="0.2">
      <c r="A294" s="3874"/>
      <c r="B294" s="3874"/>
      <c r="C294" s="3874"/>
      <c r="D294" s="3957"/>
      <c r="E294" s="3957"/>
      <c r="F294" s="3957"/>
      <c r="G294" s="3971"/>
      <c r="H294" s="2602"/>
      <c r="I294" s="2398"/>
      <c r="J294" s="3042"/>
      <c r="K294" s="4025"/>
      <c r="L294" s="2136"/>
      <c r="M294" s="2668"/>
      <c r="N294" s="2847"/>
      <c r="O294" s="2625"/>
      <c r="P294" s="3620"/>
      <c r="Q294" s="2398"/>
      <c r="R294" s="2878"/>
      <c r="S294" s="2879"/>
      <c r="T294" s="4026">
        <v>170826107.49000001</v>
      </c>
      <c r="U294" s="3958" t="s">
        <v>2136</v>
      </c>
      <c r="V294" s="3997" t="s">
        <v>1830</v>
      </c>
      <c r="W294" s="2621"/>
      <c r="X294" s="2621"/>
      <c r="Y294" s="2621"/>
      <c r="Z294" s="2621"/>
      <c r="AA294" s="2621"/>
      <c r="AB294" s="2621"/>
      <c r="AC294" s="2621"/>
      <c r="AD294" s="2621"/>
      <c r="AE294" s="2621"/>
      <c r="AF294" s="2621"/>
      <c r="AG294" s="2621"/>
      <c r="AH294" s="2621"/>
      <c r="AI294" s="2621"/>
      <c r="AJ294" s="2621"/>
      <c r="AK294" s="2621"/>
      <c r="AL294" s="2621"/>
      <c r="AM294" s="2621"/>
      <c r="AN294" s="2621"/>
      <c r="AO294" s="2621"/>
      <c r="AP294" s="3030"/>
    </row>
    <row r="295" spans="1:42" s="3908" customFormat="1" ht="44.25" customHeight="1" x14ac:dyDescent="0.2">
      <c r="A295" s="3874"/>
      <c r="B295" s="3874"/>
      <c r="C295" s="3874"/>
      <c r="D295" s="3957"/>
      <c r="E295" s="3957"/>
      <c r="F295" s="3957"/>
      <c r="G295" s="3971"/>
      <c r="H295" s="2602"/>
      <c r="I295" s="2398"/>
      <c r="J295" s="3042"/>
      <c r="K295" s="4025"/>
      <c r="L295" s="2136"/>
      <c r="M295" s="2668"/>
      <c r="N295" s="2847"/>
      <c r="O295" s="2625"/>
      <c r="P295" s="3620"/>
      <c r="Q295" s="2398"/>
      <c r="R295" s="2878"/>
      <c r="S295" s="2102" t="s">
        <v>2158</v>
      </c>
      <c r="T295" s="3943">
        <v>19632666</v>
      </c>
      <c r="U295" s="3958" t="s">
        <v>1791</v>
      </c>
      <c r="V295" s="3997" t="s">
        <v>1792</v>
      </c>
      <c r="W295" s="2621"/>
      <c r="X295" s="2621"/>
      <c r="Y295" s="2621"/>
      <c r="Z295" s="2621"/>
      <c r="AA295" s="2621"/>
      <c r="AB295" s="2621"/>
      <c r="AC295" s="2621"/>
      <c r="AD295" s="2621"/>
      <c r="AE295" s="2621"/>
      <c r="AF295" s="2621"/>
      <c r="AG295" s="2621"/>
      <c r="AH295" s="2621"/>
      <c r="AI295" s="2621"/>
      <c r="AJ295" s="2621"/>
      <c r="AK295" s="2621"/>
      <c r="AL295" s="2621"/>
      <c r="AM295" s="2621"/>
      <c r="AN295" s="2621"/>
      <c r="AO295" s="2621"/>
      <c r="AP295" s="3030"/>
    </row>
    <row r="296" spans="1:42" s="3908" customFormat="1" ht="44.25" customHeight="1" x14ac:dyDescent="0.2">
      <c r="A296" s="3874"/>
      <c r="B296" s="3874"/>
      <c r="C296" s="3874"/>
      <c r="D296" s="3957"/>
      <c r="E296" s="3957"/>
      <c r="F296" s="3957"/>
      <c r="G296" s="3973"/>
      <c r="H296" s="2603"/>
      <c r="I296" s="2819"/>
      <c r="J296" s="3043"/>
      <c r="K296" s="4027"/>
      <c r="L296" s="4028"/>
      <c r="M296" s="2668"/>
      <c r="N296" s="2848"/>
      <c r="O296" s="2660"/>
      <c r="P296" s="3624"/>
      <c r="Q296" s="2819"/>
      <c r="R296" s="2879"/>
      <c r="S296" s="2115" t="s">
        <v>2159</v>
      </c>
      <c r="T296" s="4029">
        <f>417186000+63392000</f>
        <v>480578000</v>
      </c>
      <c r="U296" s="3958" t="s">
        <v>1791</v>
      </c>
      <c r="V296" s="3894" t="s">
        <v>1792</v>
      </c>
      <c r="W296" s="3582"/>
      <c r="X296" s="3582"/>
      <c r="Y296" s="3582"/>
      <c r="Z296" s="3582"/>
      <c r="AA296" s="3582"/>
      <c r="AB296" s="3582"/>
      <c r="AC296" s="3582"/>
      <c r="AD296" s="3582"/>
      <c r="AE296" s="3582"/>
      <c r="AF296" s="3582"/>
      <c r="AG296" s="3582"/>
      <c r="AH296" s="3582"/>
      <c r="AI296" s="3582"/>
      <c r="AJ296" s="3582"/>
      <c r="AK296" s="3582"/>
      <c r="AL296" s="3582"/>
      <c r="AM296" s="3582"/>
      <c r="AN296" s="3582"/>
      <c r="AO296" s="3582"/>
      <c r="AP296" s="3031"/>
    </row>
    <row r="297" spans="1:42" s="3908" customFormat="1" ht="16.5" customHeight="1" x14ac:dyDescent="0.2">
      <c r="A297" s="3874"/>
      <c r="B297" s="3874"/>
      <c r="C297" s="3874"/>
      <c r="D297" s="1793">
        <v>13</v>
      </c>
      <c r="E297" s="1244" t="s">
        <v>1313</v>
      </c>
      <c r="F297" s="1245"/>
      <c r="G297" s="835"/>
      <c r="H297" s="835"/>
      <c r="I297" s="208"/>
      <c r="J297" s="208"/>
      <c r="K297" s="1513"/>
      <c r="L297" s="1513"/>
      <c r="M297" s="1246"/>
      <c r="N297" s="4030"/>
      <c r="O297" s="2007"/>
      <c r="P297" s="835"/>
      <c r="Q297" s="4031"/>
      <c r="R297" s="4030"/>
      <c r="S297" s="208"/>
      <c r="T297" s="4032"/>
      <c r="U297" s="4033"/>
      <c r="V297" s="4034"/>
      <c r="W297" s="2008"/>
      <c r="X297" s="2008"/>
      <c r="Y297" s="2008"/>
      <c r="Z297" s="2008"/>
      <c r="AA297" s="2008"/>
      <c r="AB297" s="2008"/>
      <c r="AC297" s="2008"/>
      <c r="AD297" s="2008"/>
      <c r="AE297" s="2008"/>
      <c r="AF297" s="2008"/>
      <c r="AG297" s="2008"/>
      <c r="AH297" s="2008"/>
      <c r="AI297" s="2008"/>
      <c r="AJ297" s="2008"/>
      <c r="AK297" s="2008"/>
      <c r="AL297" s="2008"/>
      <c r="AM297" s="2008"/>
      <c r="AN297" s="2008"/>
      <c r="AO297" s="2008"/>
      <c r="AP297" s="4035"/>
    </row>
    <row r="298" spans="1:42" s="3908" customFormat="1" ht="78" customHeight="1" x14ac:dyDescent="0.2">
      <c r="A298" s="3874"/>
      <c r="B298" s="3874"/>
      <c r="C298" s="3874"/>
      <c r="D298" s="4036"/>
      <c r="E298" s="4036"/>
      <c r="F298" s="4037"/>
      <c r="G298" s="2100">
        <v>1906032</v>
      </c>
      <c r="H298" s="2100">
        <v>13.7</v>
      </c>
      <c r="I298" s="2115" t="s">
        <v>2160</v>
      </c>
      <c r="J298" s="2115" t="s">
        <v>2161</v>
      </c>
      <c r="K298" s="3942">
        <v>1500</v>
      </c>
      <c r="L298" s="2088"/>
      <c r="M298" s="3101" t="s">
        <v>2162</v>
      </c>
      <c r="N298" s="3017" t="s">
        <v>2163</v>
      </c>
      <c r="O298" s="1017">
        <f>SUM(T298)/P298</f>
        <v>0</v>
      </c>
      <c r="P298" s="3568">
        <f>SUM(T298:T303)</f>
        <v>24421796908.48</v>
      </c>
      <c r="Q298" s="3017" t="s">
        <v>2164</v>
      </c>
      <c r="R298" s="2982" t="s">
        <v>2165</v>
      </c>
      <c r="S298" s="2115" t="s">
        <v>2166</v>
      </c>
      <c r="T298" s="4038">
        <v>0</v>
      </c>
      <c r="U298" s="3958" t="s">
        <v>1871</v>
      </c>
      <c r="V298" s="4039" t="s">
        <v>70</v>
      </c>
      <c r="W298" s="2601">
        <v>292684</v>
      </c>
      <c r="X298" s="2601">
        <v>282326</v>
      </c>
      <c r="Y298" s="2601">
        <v>135912</v>
      </c>
      <c r="Z298" s="2601">
        <v>45122</v>
      </c>
      <c r="AA298" s="2601">
        <v>365607</v>
      </c>
      <c r="AB298" s="2601">
        <f>SUM(AA298*0.92)</f>
        <v>336358.44</v>
      </c>
      <c r="AC298" s="2601">
        <v>75612</v>
      </c>
      <c r="AD298" s="2601">
        <v>2145</v>
      </c>
      <c r="AE298" s="2601">
        <v>12718</v>
      </c>
      <c r="AF298" s="2601">
        <v>26</v>
      </c>
      <c r="AG298" s="2601">
        <v>37</v>
      </c>
      <c r="AH298" s="2601">
        <v>0</v>
      </c>
      <c r="AI298" s="2601">
        <v>0</v>
      </c>
      <c r="AJ298" s="2601">
        <v>53164</v>
      </c>
      <c r="AK298" s="2601">
        <v>16982</v>
      </c>
      <c r="AL298" s="2601">
        <v>60013</v>
      </c>
      <c r="AM298" s="2601">
        <v>575010</v>
      </c>
      <c r="AN298" s="3494">
        <v>43832</v>
      </c>
      <c r="AO298" s="3494">
        <v>44196</v>
      </c>
      <c r="AP298" s="2397" t="s">
        <v>1739</v>
      </c>
    </row>
    <row r="299" spans="1:42" s="3908" customFormat="1" ht="27" customHeight="1" x14ac:dyDescent="0.2">
      <c r="A299" s="3874"/>
      <c r="B299" s="3874"/>
      <c r="C299" s="3874"/>
      <c r="D299" s="4040"/>
      <c r="E299" s="4040"/>
      <c r="F299" s="2991"/>
      <c r="G299" s="2873" t="s">
        <v>52</v>
      </c>
      <c r="H299" s="2601">
        <v>13.8</v>
      </c>
      <c r="I299" s="3017" t="s">
        <v>2167</v>
      </c>
      <c r="J299" s="3017" t="s">
        <v>2168</v>
      </c>
      <c r="K299" s="3101">
        <v>19899</v>
      </c>
      <c r="L299" s="2089" t="s">
        <v>2444</v>
      </c>
      <c r="M299" s="3101"/>
      <c r="N299" s="3017"/>
      <c r="O299" s="4041">
        <f>SUM(T299:T303)/P298</f>
        <v>1</v>
      </c>
      <c r="P299" s="3101"/>
      <c r="Q299" s="3017"/>
      <c r="R299" s="2878"/>
      <c r="S299" s="2397" t="s">
        <v>2169</v>
      </c>
      <c r="T299" s="3927">
        <v>21573206489.27</v>
      </c>
      <c r="U299" s="3958" t="s">
        <v>2170</v>
      </c>
      <c r="V299" s="4042" t="s">
        <v>2171</v>
      </c>
      <c r="W299" s="2602"/>
      <c r="X299" s="2602"/>
      <c r="Y299" s="2602"/>
      <c r="Z299" s="2602"/>
      <c r="AA299" s="2602"/>
      <c r="AB299" s="2602"/>
      <c r="AC299" s="2602"/>
      <c r="AD299" s="2602"/>
      <c r="AE299" s="2602"/>
      <c r="AF299" s="2602"/>
      <c r="AG299" s="2602"/>
      <c r="AH299" s="2602"/>
      <c r="AI299" s="2602"/>
      <c r="AJ299" s="2602"/>
      <c r="AK299" s="2602"/>
      <c r="AL299" s="2602"/>
      <c r="AM299" s="2602"/>
      <c r="AN299" s="2602"/>
      <c r="AO299" s="2602"/>
      <c r="AP299" s="2398"/>
    </row>
    <row r="300" spans="1:42" s="3908" customFormat="1" ht="27" customHeight="1" x14ac:dyDescent="0.2">
      <c r="A300" s="3874"/>
      <c r="B300" s="3874"/>
      <c r="C300" s="3874"/>
      <c r="D300" s="4040"/>
      <c r="E300" s="4040"/>
      <c r="F300" s="2991"/>
      <c r="G300" s="2873"/>
      <c r="H300" s="2602"/>
      <c r="I300" s="3017"/>
      <c r="J300" s="3017"/>
      <c r="K300" s="3101"/>
      <c r="L300" s="2089" t="s">
        <v>2445</v>
      </c>
      <c r="M300" s="3101"/>
      <c r="N300" s="3017"/>
      <c r="O300" s="4041"/>
      <c r="P300" s="3101"/>
      <c r="Q300" s="3017"/>
      <c r="R300" s="2878"/>
      <c r="S300" s="2398"/>
      <c r="T300" s="4043">
        <v>793948989.16999996</v>
      </c>
      <c r="U300" s="3958" t="s">
        <v>2446</v>
      </c>
      <c r="V300" s="4044" t="s">
        <v>2447</v>
      </c>
      <c r="W300" s="2602"/>
      <c r="X300" s="2602"/>
      <c r="Y300" s="2602"/>
      <c r="Z300" s="2602"/>
      <c r="AA300" s="2602"/>
      <c r="AB300" s="2602"/>
      <c r="AC300" s="2602"/>
      <c r="AD300" s="2602"/>
      <c r="AE300" s="2602"/>
      <c r="AF300" s="2602"/>
      <c r="AG300" s="2602"/>
      <c r="AH300" s="2602"/>
      <c r="AI300" s="2602"/>
      <c r="AJ300" s="2602"/>
      <c r="AK300" s="2602"/>
      <c r="AL300" s="2602"/>
      <c r="AM300" s="2602"/>
      <c r="AN300" s="2602"/>
      <c r="AO300" s="2602"/>
      <c r="AP300" s="2398"/>
    </row>
    <row r="301" spans="1:42" s="3908" customFormat="1" ht="27" customHeight="1" x14ac:dyDescent="0.2">
      <c r="A301" s="3874"/>
      <c r="B301" s="3874"/>
      <c r="C301" s="3874"/>
      <c r="D301" s="4040"/>
      <c r="E301" s="4040"/>
      <c r="F301" s="2991"/>
      <c r="G301" s="2873"/>
      <c r="H301" s="2602"/>
      <c r="I301" s="3017"/>
      <c r="J301" s="3017"/>
      <c r="K301" s="3101"/>
      <c r="L301" s="2089"/>
      <c r="M301" s="3101"/>
      <c r="N301" s="3017"/>
      <c r="O301" s="4041"/>
      <c r="P301" s="3101"/>
      <c r="Q301" s="3017"/>
      <c r="R301" s="2878"/>
      <c r="S301" s="2398"/>
      <c r="T301" s="4045">
        <v>2028615750</v>
      </c>
      <c r="U301" s="3958" t="s">
        <v>2174</v>
      </c>
      <c r="V301" s="4044"/>
      <c r="W301" s="2602"/>
      <c r="X301" s="2602"/>
      <c r="Y301" s="2602"/>
      <c r="Z301" s="2602"/>
      <c r="AA301" s="2602"/>
      <c r="AB301" s="2602"/>
      <c r="AC301" s="2602"/>
      <c r="AD301" s="2602"/>
      <c r="AE301" s="2602"/>
      <c r="AF301" s="2602"/>
      <c r="AG301" s="2602"/>
      <c r="AH301" s="2602"/>
      <c r="AI301" s="2602"/>
      <c r="AJ301" s="2602"/>
      <c r="AK301" s="2602"/>
      <c r="AL301" s="2602"/>
      <c r="AM301" s="2602"/>
      <c r="AN301" s="2602"/>
      <c r="AO301" s="2602"/>
      <c r="AP301" s="2398"/>
    </row>
    <row r="302" spans="1:42" s="3908" customFormat="1" ht="27" customHeight="1" x14ac:dyDescent="0.2">
      <c r="A302" s="3874"/>
      <c r="B302" s="3874"/>
      <c r="C302" s="3874"/>
      <c r="D302" s="4040"/>
      <c r="E302" s="4040"/>
      <c r="F302" s="2991"/>
      <c r="G302" s="2873"/>
      <c r="H302" s="2602"/>
      <c r="I302" s="3017"/>
      <c r="J302" s="3017"/>
      <c r="K302" s="3101"/>
      <c r="L302" s="2089" t="s">
        <v>2448</v>
      </c>
      <c r="M302" s="3101"/>
      <c r="N302" s="3017"/>
      <c r="O302" s="4041"/>
      <c r="P302" s="3101"/>
      <c r="Q302" s="3017"/>
      <c r="R302" s="2878"/>
      <c r="S302" s="2819"/>
      <c r="T302" s="4043">
        <v>14825680.039999999</v>
      </c>
      <c r="U302" s="3958" t="s">
        <v>2172</v>
      </c>
      <c r="V302" s="4044" t="s">
        <v>2173</v>
      </c>
      <c r="W302" s="2602"/>
      <c r="X302" s="2602"/>
      <c r="Y302" s="2602"/>
      <c r="Z302" s="2602"/>
      <c r="AA302" s="2602"/>
      <c r="AB302" s="2602"/>
      <c r="AC302" s="2602"/>
      <c r="AD302" s="2602"/>
      <c r="AE302" s="2602"/>
      <c r="AF302" s="2602"/>
      <c r="AG302" s="2602"/>
      <c r="AH302" s="2602"/>
      <c r="AI302" s="2602"/>
      <c r="AJ302" s="2602"/>
      <c r="AK302" s="2602"/>
      <c r="AL302" s="2602"/>
      <c r="AM302" s="2602"/>
      <c r="AN302" s="2602"/>
      <c r="AO302" s="2602"/>
      <c r="AP302" s="2398"/>
    </row>
    <row r="303" spans="1:42" s="3908" customFormat="1" ht="57.75" customHeight="1" x14ac:dyDescent="0.2">
      <c r="A303" s="3874"/>
      <c r="B303" s="3874"/>
      <c r="C303" s="3874"/>
      <c r="D303" s="4040"/>
      <c r="E303" s="4040"/>
      <c r="F303" s="2991"/>
      <c r="G303" s="2873"/>
      <c r="H303" s="2602"/>
      <c r="I303" s="2397"/>
      <c r="J303" s="2397"/>
      <c r="K303" s="2601"/>
      <c r="L303" s="2089" t="s">
        <v>2449</v>
      </c>
      <c r="M303" s="2601"/>
      <c r="N303" s="2397"/>
      <c r="O303" s="2624"/>
      <c r="P303" s="3101"/>
      <c r="Q303" s="3017"/>
      <c r="R303" s="2878"/>
      <c r="S303" s="2085" t="s">
        <v>2175</v>
      </c>
      <c r="T303" s="4046">
        <v>11200000</v>
      </c>
      <c r="U303" s="3958" t="s">
        <v>1871</v>
      </c>
      <c r="V303" s="4044" t="s">
        <v>70</v>
      </c>
      <c r="W303" s="2602"/>
      <c r="X303" s="2602"/>
      <c r="Y303" s="2602"/>
      <c r="Z303" s="2602"/>
      <c r="AA303" s="2602"/>
      <c r="AB303" s="2602"/>
      <c r="AC303" s="2602"/>
      <c r="AD303" s="2602"/>
      <c r="AE303" s="2602"/>
      <c r="AF303" s="2602"/>
      <c r="AG303" s="2602"/>
      <c r="AH303" s="2602"/>
      <c r="AI303" s="2602"/>
      <c r="AJ303" s="2602"/>
      <c r="AK303" s="2602"/>
      <c r="AL303" s="2602"/>
      <c r="AM303" s="2602"/>
      <c r="AN303" s="2602"/>
      <c r="AO303" s="2602"/>
      <c r="AP303" s="2398"/>
    </row>
    <row r="304" spans="1:42" s="3908" customFormat="1" ht="27" customHeight="1" x14ac:dyDescent="0.2">
      <c r="A304" s="3874"/>
      <c r="B304" s="3874"/>
      <c r="C304" s="3874"/>
      <c r="D304" s="4040"/>
      <c r="E304" s="4040"/>
      <c r="F304" s="2991"/>
      <c r="G304" s="3605" t="s">
        <v>52</v>
      </c>
      <c r="H304" s="3391">
        <v>13.5</v>
      </c>
      <c r="I304" s="3101" t="s">
        <v>2176</v>
      </c>
      <c r="J304" s="3157" t="s">
        <v>2177</v>
      </c>
      <c r="K304" s="2668">
        <v>60</v>
      </c>
      <c r="L304" s="2092"/>
      <c r="M304" s="2668" t="s">
        <v>2178</v>
      </c>
      <c r="N304" s="2772" t="s">
        <v>2179</v>
      </c>
      <c r="O304" s="3485">
        <f>SUM(T304:T307)/P304</f>
        <v>0.13016325866821943</v>
      </c>
      <c r="P304" s="3613">
        <f>SUM(T304:T320)</f>
        <v>13345171423.740002</v>
      </c>
      <c r="Q304" s="3017" t="s">
        <v>2180</v>
      </c>
      <c r="R304" s="2346" t="s">
        <v>2181</v>
      </c>
      <c r="S304" s="2871" t="s">
        <v>2450</v>
      </c>
      <c r="T304" s="3893">
        <f>1530716729-208772729</f>
        <v>1321944000</v>
      </c>
      <c r="U304" s="3958" t="s">
        <v>2182</v>
      </c>
      <c r="V304" s="3894" t="s">
        <v>2183</v>
      </c>
      <c r="W304" s="2644">
        <v>292684</v>
      </c>
      <c r="X304" s="2644">
        <v>282326</v>
      </c>
      <c r="Y304" s="2644">
        <v>135912</v>
      </c>
      <c r="Z304" s="2644">
        <v>45122</v>
      </c>
      <c r="AA304" s="2644">
        <v>365607</v>
      </c>
      <c r="AB304" s="2644">
        <f>SUM(AA304*0.4)</f>
        <v>146242.80000000002</v>
      </c>
      <c r="AC304" s="2644">
        <v>75612</v>
      </c>
      <c r="AD304" s="2644">
        <v>2145</v>
      </c>
      <c r="AE304" s="2644">
        <v>12718</v>
      </c>
      <c r="AF304" s="2644">
        <v>26</v>
      </c>
      <c r="AG304" s="2644">
        <v>37</v>
      </c>
      <c r="AH304" s="2644">
        <v>0</v>
      </c>
      <c r="AI304" s="2644">
        <v>0</v>
      </c>
      <c r="AJ304" s="2644">
        <v>53164</v>
      </c>
      <c r="AK304" s="2644">
        <v>16982</v>
      </c>
      <c r="AL304" s="2644">
        <v>60013</v>
      </c>
      <c r="AM304" s="2644">
        <v>575010</v>
      </c>
      <c r="AN304" s="3939">
        <v>43832</v>
      </c>
      <c r="AO304" s="3939">
        <v>44196</v>
      </c>
      <c r="AP304" s="2846" t="s">
        <v>1739</v>
      </c>
    </row>
    <row r="305" spans="1:42" s="3908" customFormat="1" ht="27" customHeight="1" x14ac:dyDescent="0.2">
      <c r="A305" s="3874"/>
      <c r="B305" s="3874"/>
      <c r="C305" s="3874"/>
      <c r="D305" s="4040"/>
      <c r="E305" s="4040"/>
      <c r="F305" s="2991"/>
      <c r="G305" s="3606"/>
      <c r="H305" s="3611"/>
      <c r="I305" s="3101"/>
      <c r="J305" s="3157"/>
      <c r="K305" s="2668"/>
      <c r="L305" s="2126" t="s">
        <v>2451</v>
      </c>
      <c r="M305" s="2668"/>
      <c r="N305" s="2772"/>
      <c r="O305" s="3947"/>
      <c r="P305" s="3613"/>
      <c r="Q305" s="3017"/>
      <c r="R305" s="2347"/>
      <c r="S305" s="3476"/>
      <c r="T305" s="3893">
        <v>400000000</v>
      </c>
      <c r="U305" s="3958" t="s">
        <v>2186</v>
      </c>
      <c r="V305" s="3894"/>
      <c r="W305" s="2645"/>
      <c r="X305" s="2645"/>
      <c r="Y305" s="2645"/>
      <c r="Z305" s="2645"/>
      <c r="AA305" s="2645"/>
      <c r="AB305" s="2645"/>
      <c r="AC305" s="2645"/>
      <c r="AD305" s="2645"/>
      <c r="AE305" s="2645"/>
      <c r="AF305" s="2645"/>
      <c r="AG305" s="2645"/>
      <c r="AH305" s="2645"/>
      <c r="AI305" s="2645"/>
      <c r="AJ305" s="2645"/>
      <c r="AK305" s="2645"/>
      <c r="AL305" s="2645"/>
      <c r="AM305" s="2645"/>
      <c r="AN305" s="4047"/>
      <c r="AO305" s="4047"/>
      <c r="AP305" s="2847"/>
    </row>
    <row r="306" spans="1:42" s="3908" customFormat="1" ht="27" customHeight="1" x14ac:dyDescent="0.2">
      <c r="A306" s="3874"/>
      <c r="B306" s="3874"/>
      <c r="C306" s="3874"/>
      <c r="D306" s="4040"/>
      <c r="E306" s="4040"/>
      <c r="F306" s="2991"/>
      <c r="G306" s="3606"/>
      <c r="H306" s="3611"/>
      <c r="I306" s="3101"/>
      <c r="J306" s="3157"/>
      <c r="K306" s="2668"/>
      <c r="L306" s="2126" t="s">
        <v>2452</v>
      </c>
      <c r="M306" s="2668"/>
      <c r="N306" s="2772"/>
      <c r="O306" s="3947"/>
      <c r="P306" s="2873"/>
      <c r="Q306" s="3017"/>
      <c r="R306" s="2347"/>
      <c r="S306" s="3253"/>
      <c r="T306" s="3893">
        <f>39149969-24042969</f>
        <v>15107000</v>
      </c>
      <c r="U306" s="3958" t="s">
        <v>2184</v>
      </c>
      <c r="V306" s="3894" t="s">
        <v>2453</v>
      </c>
      <c r="W306" s="2645"/>
      <c r="X306" s="2645"/>
      <c r="Y306" s="2645"/>
      <c r="Z306" s="2645"/>
      <c r="AA306" s="2645"/>
      <c r="AB306" s="2645"/>
      <c r="AC306" s="2645"/>
      <c r="AD306" s="2645"/>
      <c r="AE306" s="2645"/>
      <c r="AF306" s="2645"/>
      <c r="AG306" s="2645"/>
      <c r="AH306" s="2645"/>
      <c r="AI306" s="2645"/>
      <c r="AJ306" s="2645"/>
      <c r="AK306" s="2645"/>
      <c r="AL306" s="2645"/>
      <c r="AM306" s="2645"/>
      <c r="AN306" s="2645"/>
      <c r="AO306" s="2645"/>
      <c r="AP306" s="2847"/>
    </row>
    <row r="307" spans="1:42" s="3908" customFormat="1" ht="27" customHeight="1" x14ac:dyDescent="0.2">
      <c r="A307" s="3874"/>
      <c r="B307" s="3874"/>
      <c r="C307" s="3874"/>
      <c r="D307" s="4040"/>
      <c r="E307" s="4040"/>
      <c r="F307" s="2991"/>
      <c r="G307" s="3607"/>
      <c r="H307" s="3569"/>
      <c r="I307" s="3101"/>
      <c r="J307" s="2140" t="s">
        <v>2185</v>
      </c>
      <c r="K307" s="2092">
        <v>40</v>
      </c>
      <c r="L307" s="2126" t="s">
        <v>2454</v>
      </c>
      <c r="M307" s="2668"/>
      <c r="N307" s="2772"/>
      <c r="O307" s="2708"/>
      <c r="P307" s="2873"/>
      <c r="Q307" s="3017"/>
      <c r="R307" s="2347"/>
      <c r="S307" s="2122"/>
      <c r="T307" s="3893">
        <v>0</v>
      </c>
      <c r="U307" s="3958"/>
      <c r="V307" s="3894"/>
      <c r="W307" s="2645"/>
      <c r="X307" s="2645"/>
      <c r="Y307" s="2645"/>
      <c r="Z307" s="2645"/>
      <c r="AA307" s="2645"/>
      <c r="AB307" s="2645"/>
      <c r="AC307" s="2645"/>
      <c r="AD307" s="2645"/>
      <c r="AE307" s="2645"/>
      <c r="AF307" s="2645"/>
      <c r="AG307" s="2645"/>
      <c r="AH307" s="2645"/>
      <c r="AI307" s="2645"/>
      <c r="AJ307" s="2645"/>
      <c r="AK307" s="2645"/>
      <c r="AL307" s="2645"/>
      <c r="AM307" s="2645"/>
      <c r="AN307" s="2645"/>
      <c r="AO307" s="2645"/>
      <c r="AP307" s="2847"/>
    </row>
    <row r="308" spans="1:42" s="3908" customFormat="1" ht="63.75" customHeight="1" x14ac:dyDescent="0.2">
      <c r="A308" s="3874"/>
      <c r="B308" s="3874"/>
      <c r="C308" s="3874"/>
      <c r="D308" s="4040"/>
      <c r="E308" s="4040"/>
      <c r="F308" s="2991"/>
      <c r="G308" s="2133" t="s">
        <v>52</v>
      </c>
      <c r="H308" s="2092">
        <v>13.9</v>
      </c>
      <c r="I308" s="2122" t="s">
        <v>2187</v>
      </c>
      <c r="J308" s="2099" t="s">
        <v>2188</v>
      </c>
      <c r="K308" s="2092">
        <v>100</v>
      </c>
      <c r="L308" s="2120" t="s">
        <v>2455</v>
      </c>
      <c r="M308" s="2668"/>
      <c r="N308" s="2772"/>
      <c r="O308" s="2121">
        <f>SUM(T308)/P304</f>
        <v>0.11212647147702556</v>
      </c>
      <c r="P308" s="2873"/>
      <c r="Q308" s="3017"/>
      <c r="R308" s="2347"/>
      <c r="S308" s="2099" t="s">
        <v>2189</v>
      </c>
      <c r="T308" s="3893">
        <f>0+1496346983</f>
        <v>1496346983</v>
      </c>
      <c r="U308" s="3958" t="s">
        <v>2191</v>
      </c>
      <c r="V308" s="3894" t="s">
        <v>2190</v>
      </c>
      <c r="W308" s="2645"/>
      <c r="X308" s="2645"/>
      <c r="Y308" s="2645"/>
      <c r="Z308" s="2645"/>
      <c r="AA308" s="2645"/>
      <c r="AB308" s="2645"/>
      <c r="AC308" s="2645"/>
      <c r="AD308" s="2645"/>
      <c r="AE308" s="2645"/>
      <c r="AF308" s="2645"/>
      <c r="AG308" s="2645"/>
      <c r="AH308" s="2645"/>
      <c r="AI308" s="2645"/>
      <c r="AJ308" s="2645"/>
      <c r="AK308" s="2645"/>
      <c r="AL308" s="2645"/>
      <c r="AM308" s="2645"/>
      <c r="AN308" s="2645"/>
      <c r="AO308" s="2645"/>
      <c r="AP308" s="2847"/>
    </row>
    <row r="309" spans="1:42" s="3908" customFormat="1" ht="27" customHeight="1" x14ac:dyDescent="0.2">
      <c r="A309" s="3874"/>
      <c r="B309" s="3874"/>
      <c r="C309" s="3874"/>
      <c r="D309" s="4040"/>
      <c r="E309" s="4040"/>
      <c r="F309" s="2991"/>
      <c r="G309" s="3625" t="s">
        <v>52</v>
      </c>
      <c r="H309" s="3626">
        <v>13.1</v>
      </c>
      <c r="I309" s="2772" t="s">
        <v>2192</v>
      </c>
      <c r="J309" s="2772" t="s">
        <v>2193</v>
      </c>
      <c r="K309" s="2668">
        <v>100</v>
      </c>
      <c r="L309" s="2120" t="s">
        <v>2456</v>
      </c>
      <c r="M309" s="2668"/>
      <c r="N309" s="2772"/>
      <c r="O309" s="2669">
        <f>SUM(T309:T320)/P304</f>
        <v>0.75771026985475498</v>
      </c>
      <c r="P309" s="2873"/>
      <c r="Q309" s="3017"/>
      <c r="R309" s="2347"/>
      <c r="S309" s="2772" t="s">
        <v>2194</v>
      </c>
      <c r="T309" s="4048">
        <v>68256639</v>
      </c>
      <c r="U309" s="3989" t="s">
        <v>2066</v>
      </c>
      <c r="V309" s="4049" t="s">
        <v>2195</v>
      </c>
      <c r="W309" s="2645"/>
      <c r="X309" s="2645"/>
      <c r="Y309" s="2645"/>
      <c r="Z309" s="2645"/>
      <c r="AA309" s="2645"/>
      <c r="AB309" s="2645"/>
      <c r="AC309" s="2645"/>
      <c r="AD309" s="2645"/>
      <c r="AE309" s="2645"/>
      <c r="AF309" s="2645"/>
      <c r="AG309" s="2645"/>
      <c r="AH309" s="2645"/>
      <c r="AI309" s="2645"/>
      <c r="AJ309" s="2645"/>
      <c r="AK309" s="2645"/>
      <c r="AL309" s="2645"/>
      <c r="AM309" s="2645"/>
      <c r="AN309" s="2645"/>
      <c r="AO309" s="2645"/>
      <c r="AP309" s="2847"/>
    </row>
    <row r="310" spans="1:42" s="3908" customFormat="1" ht="27" customHeight="1" x14ac:dyDescent="0.2">
      <c r="A310" s="3874"/>
      <c r="B310" s="3874"/>
      <c r="C310" s="3874"/>
      <c r="D310" s="4040"/>
      <c r="E310" s="4040"/>
      <c r="F310" s="2991"/>
      <c r="G310" s="3625"/>
      <c r="H310" s="3626"/>
      <c r="I310" s="2772"/>
      <c r="J310" s="2772"/>
      <c r="K310" s="2668"/>
      <c r="L310" s="2120" t="s">
        <v>2457</v>
      </c>
      <c r="M310" s="2668"/>
      <c r="N310" s="2772"/>
      <c r="O310" s="2669"/>
      <c r="P310" s="2873"/>
      <c r="Q310" s="3017"/>
      <c r="R310" s="2347"/>
      <c r="S310" s="2772"/>
      <c r="T310" s="4048">
        <v>7852620.4400000004</v>
      </c>
      <c r="U310" s="3989" t="s">
        <v>2202</v>
      </c>
      <c r="V310" s="4050" t="s">
        <v>2203</v>
      </c>
      <c r="W310" s="2645"/>
      <c r="X310" s="2645"/>
      <c r="Y310" s="2645"/>
      <c r="Z310" s="2645"/>
      <c r="AA310" s="2645"/>
      <c r="AB310" s="2645"/>
      <c r="AC310" s="2645"/>
      <c r="AD310" s="2645"/>
      <c r="AE310" s="2645"/>
      <c r="AF310" s="2645"/>
      <c r="AG310" s="2645"/>
      <c r="AH310" s="2645"/>
      <c r="AI310" s="2645"/>
      <c r="AJ310" s="2645"/>
      <c r="AK310" s="2645"/>
      <c r="AL310" s="2645"/>
      <c r="AM310" s="2645"/>
      <c r="AN310" s="2645"/>
      <c r="AO310" s="2645"/>
      <c r="AP310" s="2847"/>
    </row>
    <row r="311" spans="1:42" s="3908" customFormat="1" ht="27" customHeight="1" x14ac:dyDescent="0.2">
      <c r="A311" s="3874"/>
      <c r="B311" s="3874"/>
      <c r="C311" s="3874"/>
      <c r="D311" s="4040"/>
      <c r="E311" s="4040"/>
      <c r="F311" s="2991"/>
      <c r="G311" s="3625"/>
      <c r="H311" s="3626"/>
      <c r="I311" s="2772"/>
      <c r="J311" s="2772"/>
      <c r="K311" s="2668"/>
      <c r="L311" s="2120" t="s">
        <v>2458</v>
      </c>
      <c r="M311" s="2668"/>
      <c r="N311" s="2772"/>
      <c r="O311" s="2669"/>
      <c r="P311" s="2873"/>
      <c r="Q311" s="3017"/>
      <c r="R311" s="2347"/>
      <c r="S311" s="2772"/>
      <c r="T311" s="4048">
        <v>4427083.08</v>
      </c>
      <c r="U311" s="3989" t="s">
        <v>2174</v>
      </c>
      <c r="V311" s="4049" t="s">
        <v>2196</v>
      </c>
      <c r="W311" s="2645"/>
      <c r="X311" s="2645"/>
      <c r="Y311" s="2645"/>
      <c r="Z311" s="2645"/>
      <c r="AA311" s="2645"/>
      <c r="AB311" s="2645"/>
      <c r="AC311" s="2645"/>
      <c r="AD311" s="2645"/>
      <c r="AE311" s="2645"/>
      <c r="AF311" s="2645"/>
      <c r="AG311" s="2645"/>
      <c r="AH311" s="2645"/>
      <c r="AI311" s="2645"/>
      <c r="AJ311" s="2645"/>
      <c r="AK311" s="2645"/>
      <c r="AL311" s="2645"/>
      <c r="AM311" s="2645"/>
      <c r="AN311" s="2645"/>
      <c r="AO311" s="2645"/>
      <c r="AP311" s="2847"/>
    </row>
    <row r="312" spans="1:42" s="3908" customFormat="1" ht="27" customHeight="1" x14ac:dyDescent="0.2">
      <c r="A312" s="3874"/>
      <c r="B312" s="3874"/>
      <c r="C312" s="3874"/>
      <c r="D312" s="4040"/>
      <c r="E312" s="4040"/>
      <c r="F312" s="2991"/>
      <c r="G312" s="3625"/>
      <c r="H312" s="3626"/>
      <c r="I312" s="2772"/>
      <c r="J312" s="2772"/>
      <c r="K312" s="2668"/>
      <c r="L312" s="2120" t="s">
        <v>2459</v>
      </c>
      <c r="M312" s="2668"/>
      <c r="N312" s="2772"/>
      <c r="O312" s="2669"/>
      <c r="P312" s="2873"/>
      <c r="Q312" s="3017"/>
      <c r="R312" s="2347"/>
      <c r="S312" s="2772"/>
      <c r="T312" s="4026">
        <v>6388000</v>
      </c>
      <c r="U312" s="3989" t="s">
        <v>2197</v>
      </c>
      <c r="V312" s="4049" t="s">
        <v>2198</v>
      </c>
      <c r="W312" s="2645"/>
      <c r="X312" s="2645"/>
      <c r="Y312" s="2645"/>
      <c r="Z312" s="2645"/>
      <c r="AA312" s="2645"/>
      <c r="AB312" s="2645"/>
      <c r="AC312" s="2645"/>
      <c r="AD312" s="2645"/>
      <c r="AE312" s="2645"/>
      <c r="AF312" s="2645"/>
      <c r="AG312" s="2645"/>
      <c r="AH312" s="2645"/>
      <c r="AI312" s="2645"/>
      <c r="AJ312" s="2645"/>
      <c r="AK312" s="2645"/>
      <c r="AL312" s="2645"/>
      <c r="AM312" s="2645"/>
      <c r="AN312" s="2645"/>
      <c r="AO312" s="2645"/>
      <c r="AP312" s="2847"/>
    </row>
    <row r="313" spans="1:42" s="3908" customFormat="1" ht="27" customHeight="1" x14ac:dyDescent="0.2">
      <c r="A313" s="3874"/>
      <c r="B313" s="3874"/>
      <c r="C313" s="3874"/>
      <c r="D313" s="4040"/>
      <c r="E313" s="4040"/>
      <c r="F313" s="2991"/>
      <c r="G313" s="3625"/>
      <c r="H313" s="3626"/>
      <c r="I313" s="2772"/>
      <c r="J313" s="2772"/>
      <c r="K313" s="2668"/>
      <c r="L313" s="2120" t="s">
        <v>2460</v>
      </c>
      <c r="M313" s="2668"/>
      <c r="N313" s="2772"/>
      <c r="O313" s="2669"/>
      <c r="P313" s="2873"/>
      <c r="Q313" s="3017"/>
      <c r="R313" s="2347"/>
      <c r="S313" s="2772"/>
      <c r="T313" s="4026">
        <v>680251497</v>
      </c>
      <c r="U313" s="3989" t="s">
        <v>2201</v>
      </c>
      <c r="V313" s="4049" t="s">
        <v>2461</v>
      </c>
      <c r="W313" s="2645"/>
      <c r="X313" s="2645"/>
      <c r="Y313" s="2645"/>
      <c r="Z313" s="2645"/>
      <c r="AA313" s="2645"/>
      <c r="AB313" s="2645"/>
      <c r="AC313" s="2645"/>
      <c r="AD313" s="2645"/>
      <c r="AE313" s="2645"/>
      <c r="AF313" s="2645"/>
      <c r="AG313" s="2645"/>
      <c r="AH313" s="2645"/>
      <c r="AI313" s="2645"/>
      <c r="AJ313" s="2645"/>
      <c r="AK313" s="2645"/>
      <c r="AL313" s="2645"/>
      <c r="AM313" s="2645"/>
      <c r="AN313" s="2645"/>
      <c r="AO313" s="2645"/>
      <c r="AP313" s="2847"/>
    </row>
    <row r="314" spans="1:42" s="3908" customFormat="1" ht="27" customHeight="1" x14ac:dyDescent="0.2">
      <c r="A314" s="3874"/>
      <c r="B314" s="3874"/>
      <c r="C314" s="3874"/>
      <c r="D314" s="4040"/>
      <c r="E314" s="4040"/>
      <c r="F314" s="2991"/>
      <c r="G314" s="3625"/>
      <c r="H314" s="3626"/>
      <c r="I314" s="2772"/>
      <c r="J314" s="2772"/>
      <c r="K314" s="2668"/>
      <c r="L314" s="2120" t="s">
        <v>2462</v>
      </c>
      <c r="M314" s="2668"/>
      <c r="N314" s="2772"/>
      <c r="O314" s="2669"/>
      <c r="P314" s="2873"/>
      <c r="Q314" s="3017"/>
      <c r="R314" s="2347"/>
      <c r="S314" s="2772"/>
      <c r="T314" s="4048">
        <v>5305232892</v>
      </c>
      <c r="U314" s="3989" t="s">
        <v>2463</v>
      </c>
      <c r="V314" s="4049" t="s">
        <v>2464</v>
      </c>
      <c r="W314" s="2645"/>
      <c r="X314" s="2645"/>
      <c r="Y314" s="2645"/>
      <c r="Z314" s="2645"/>
      <c r="AA314" s="2645"/>
      <c r="AB314" s="2645"/>
      <c r="AC314" s="2645"/>
      <c r="AD314" s="2645"/>
      <c r="AE314" s="2645"/>
      <c r="AF314" s="2645"/>
      <c r="AG314" s="2645"/>
      <c r="AH314" s="2645"/>
      <c r="AI314" s="2645"/>
      <c r="AJ314" s="2645"/>
      <c r="AK314" s="2645"/>
      <c r="AL314" s="2645"/>
      <c r="AM314" s="2645"/>
      <c r="AN314" s="2645"/>
      <c r="AO314" s="2645"/>
      <c r="AP314" s="2847"/>
    </row>
    <row r="315" spans="1:42" s="3908" customFormat="1" ht="27" customHeight="1" x14ac:dyDescent="0.2">
      <c r="A315" s="3874"/>
      <c r="B315" s="3874"/>
      <c r="C315" s="3874"/>
      <c r="D315" s="4040"/>
      <c r="E315" s="4040"/>
      <c r="F315" s="2991"/>
      <c r="G315" s="3625"/>
      <c r="H315" s="3626"/>
      <c r="I315" s="2772"/>
      <c r="J315" s="2772"/>
      <c r="K315" s="2668"/>
      <c r="L315" s="2120" t="s">
        <v>2465</v>
      </c>
      <c r="M315" s="2668"/>
      <c r="N315" s="2772"/>
      <c r="O315" s="2669"/>
      <c r="P315" s="2873"/>
      <c r="Q315" s="3017"/>
      <c r="R315" s="2347"/>
      <c r="S315" s="2772"/>
      <c r="T315" s="4048">
        <v>3298588097</v>
      </c>
      <c r="U315" s="3989" t="s">
        <v>2199</v>
      </c>
      <c r="V315" s="4049" t="s">
        <v>2200</v>
      </c>
      <c r="W315" s="2645"/>
      <c r="X315" s="2645"/>
      <c r="Y315" s="2645"/>
      <c r="Z315" s="2645"/>
      <c r="AA315" s="2645"/>
      <c r="AB315" s="2645"/>
      <c r="AC315" s="2645"/>
      <c r="AD315" s="2645"/>
      <c r="AE315" s="2645"/>
      <c r="AF315" s="2645"/>
      <c r="AG315" s="2645"/>
      <c r="AH315" s="2645"/>
      <c r="AI315" s="2645"/>
      <c r="AJ315" s="2645"/>
      <c r="AK315" s="2645"/>
      <c r="AL315" s="2645"/>
      <c r="AM315" s="2645"/>
      <c r="AN315" s="2645"/>
      <c r="AO315" s="2645"/>
      <c r="AP315" s="2847"/>
    </row>
    <row r="316" spans="1:42" s="3908" customFormat="1" ht="27" customHeight="1" x14ac:dyDescent="0.2">
      <c r="A316" s="3874"/>
      <c r="B316" s="3874"/>
      <c r="C316" s="3874"/>
      <c r="D316" s="4040"/>
      <c r="E316" s="4040"/>
      <c r="F316" s="2991"/>
      <c r="G316" s="3625"/>
      <c r="H316" s="3626"/>
      <c r="I316" s="2772"/>
      <c r="J316" s="2772"/>
      <c r="K316" s="2668"/>
      <c r="L316" s="2120" t="s">
        <v>2466</v>
      </c>
      <c r="M316" s="2668"/>
      <c r="N316" s="2772"/>
      <c r="O316" s="2669"/>
      <c r="P316" s="2873"/>
      <c r="Q316" s="3017"/>
      <c r="R316" s="2347"/>
      <c r="S316" s="2772"/>
      <c r="T316" s="4026">
        <v>241539752.22</v>
      </c>
      <c r="U316" s="3989" t="s">
        <v>2172</v>
      </c>
      <c r="V316" s="4049" t="s">
        <v>2204</v>
      </c>
      <c r="W316" s="2645"/>
      <c r="X316" s="2645"/>
      <c r="Y316" s="2645"/>
      <c r="Z316" s="2645"/>
      <c r="AA316" s="2645"/>
      <c r="AB316" s="2645"/>
      <c r="AC316" s="2645"/>
      <c r="AD316" s="2645"/>
      <c r="AE316" s="2645"/>
      <c r="AF316" s="2645"/>
      <c r="AG316" s="2645"/>
      <c r="AH316" s="2645"/>
      <c r="AI316" s="2645"/>
      <c r="AJ316" s="2645"/>
      <c r="AK316" s="2645"/>
      <c r="AL316" s="2645"/>
      <c r="AM316" s="2645"/>
      <c r="AN316" s="2645"/>
      <c r="AO316" s="2645"/>
      <c r="AP316" s="2847"/>
    </row>
    <row r="317" spans="1:42" s="3908" customFormat="1" ht="27" customHeight="1" x14ac:dyDescent="0.2">
      <c r="A317" s="3874"/>
      <c r="B317" s="3874"/>
      <c r="C317" s="3874"/>
      <c r="D317" s="4040"/>
      <c r="E317" s="4040"/>
      <c r="F317" s="2991"/>
      <c r="G317" s="3625"/>
      <c r="H317" s="3626"/>
      <c r="I317" s="2772"/>
      <c r="J317" s="2772"/>
      <c r="K317" s="2668"/>
      <c r="L317" s="2120" t="s">
        <v>2467</v>
      </c>
      <c r="M317" s="2668"/>
      <c r="N317" s="2772"/>
      <c r="O317" s="2669"/>
      <c r="P317" s="2873"/>
      <c r="Q317" s="3017"/>
      <c r="R317" s="2347"/>
      <c r="S317" s="2772"/>
      <c r="T317" s="4026">
        <v>17913596.870000001</v>
      </c>
      <c r="U317" s="2112">
        <v>97</v>
      </c>
      <c r="V317" s="4049" t="s">
        <v>2205</v>
      </c>
      <c r="W317" s="2645"/>
      <c r="X317" s="2645"/>
      <c r="Y317" s="2645"/>
      <c r="Z317" s="2645"/>
      <c r="AA317" s="2645"/>
      <c r="AB317" s="2645"/>
      <c r="AC317" s="2645"/>
      <c r="AD317" s="2645"/>
      <c r="AE317" s="2645"/>
      <c r="AF317" s="2645"/>
      <c r="AG317" s="2645"/>
      <c r="AH317" s="2645"/>
      <c r="AI317" s="2645"/>
      <c r="AJ317" s="2645"/>
      <c r="AK317" s="2645"/>
      <c r="AL317" s="2645"/>
      <c r="AM317" s="2645"/>
      <c r="AN317" s="2645"/>
      <c r="AO317" s="2645"/>
      <c r="AP317" s="2847"/>
    </row>
    <row r="318" spans="1:42" s="3908" customFormat="1" ht="27" customHeight="1" x14ac:dyDescent="0.2">
      <c r="A318" s="3874"/>
      <c r="B318" s="3874"/>
      <c r="C318" s="3874"/>
      <c r="D318" s="4040"/>
      <c r="E318" s="4040"/>
      <c r="F318" s="2991"/>
      <c r="G318" s="3625"/>
      <c r="H318" s="3626"/>
      <c r="I318" s="2772"/>
      <c r="J318" s="2772"/>
      <c r="K318" s="2668"/>
      <c r="L318" s="2120" t="s">
        <v>2468</v>
      </c>
      <c r="M318" s="2668"/>
      <c r="N318" s="2772"/>
      <c r="O318" s="2669"/>
      <c r="P318" s="2644"/>
      <c r="Q318" s="2397"/>
      <c r="R318" s="2347"/>
      <c r="S318" s="2772"/>
      <c r="T318" s="4051">
        <v>815624.25</v>
      </c>
      <c r="U318" s="2112">
        <v>102</v>
      </c>
      <c r="V318" s="4049" t="s">
        <v>2206</v>
      </c>
      <c r="W318" s="2645"/>
      <c r="X318" s="2645"/>
      <c r="Y318" s="2645"/>
      <c r="Z318" s="2645"/>
      <c r="AA318" s="2645"/>
      <c r="AB318" s="2645"/>
      <c r="AC318" s="2645"/>
      <c r="AD318" s="2645"/>
      <c r="AE318" s="2645"/>
      <c r="AF318" s="2645"/>
      <c r="AG318" s="2645"/>
      <c r="AH318" s="2645"/>
      <c r="AI318" s="2645"/>
      <c r="AJ318" s="2645"/>
      <c r="AK318" s="2645"/>
      <c r="AL318" s="2645"/>
      <c r="AM318" s="2645"/>
      <c r="AN318" s="2645"/>
      <c r="AO318" s="2645"/>
      <c r="AP318" s="2847"/>
    </row>
    <row r="319" spans="1:42" s="3908" customFormat="1" ht="27" customHeight="1" x14ac:dyDescent="0.2">
      <c r="A319" s="3874"/>
      <c r="B319" s="3874"/>
      <c r="C319" s="3874"/>
      <c r="D319" s="4040"/>
      <c r="E319" s="4040"/>
      <c r="F319" s="2991"/>
      <c r="G319" s="3625"/>
      <c r="H319" s="3626"/>
      <c r="I319" s="2772"/>
      <c r="J319" s="2772"/>
      <c r="K319" s="2668"/>
      <c r="L319" s="2120" t="s">
        <v>2469</v>
      </c>
      <c r="M319" s="2668"/>
      <c r="N319" s="2772"/>
      <c r="O319" s="2669"/>
      <c r="P319" s="2644"/>
      <c r="Q319" s="2397"/>
      <c r="R319" s="2347"/>
      <c r="S319" s="2772"/>
      <c r="T319" s="4026">
        <v>53187418.359999999</v>
      </c>
      <c r="U319" s="2112">
        <v>152</v>
      </c>
      <c r="V319" s="4049" t="s">
        <v>2470</v>
      </c>
      <c r="W319" s="2645"/>
      <c r="X319" s="2645"/>
      <c r="Y319" s="2645"/>
      <c r="Z319" s="2645"/>
      <c r="AA319" s="2645"/>
      <c r="AB319" s="2645"/>
      <c r="AC319" s="2645"/>
      <c r="AD319" s="2645"/>
      <c r="AE319" s="2645"/>
      <c r="AF319" s="2645"/>
      <c r="AG319" s="2645"/>
      <c r="AH319" s="2645"/>
      <c r="AI319" s="2645"/>
      <c r="AJ319" s="2645"/>
      <c r="AK319" s="2645"/>
      <c r="AL319" s="2645"/>
      <c r="AM319" s="2645"/>
      <c r="AN319" s="2645"/>
      <c r="AO319" s="2645"/>
      <c r="AP319" s="2847"/>
    </row>
    <row r="320" spans="1:42" s="3908" customFormat="1" ht="27" customHeight="1" x14ac:dyDescent="0.2">
      <c r="A320" s="3874"/>
      <c r="B320" s="3874"/>
      <c r="C320" s="3874"/>
      <c r="D320" s="4040"/>
      <c r="E320" s="4040"/>
      <c r="F320" s="2991"/>
      <c r="G320" s="3625"/>
      <c r="H320" s="3626"/>
      <c r="I320" s="2772"/>
      <c r="J320" s="2772"/>
      <c r="K320" s="2668"/>
      <c r="L320" s="2118"/>
      <c r="M320" s="2668"/>
      <c r="N320" s="2772"/>
      <c r="O320" s="2669"/>
      <c r="P320" s="2644"/>
      <c r="Q320" s="2397"/>
      <c r="R320" s="3627"/>
      <c r="S320" s="2772"/>
      <c r="T320" s="4026">
        <v>427320220.51999998</v>
      </c>
      <c r="U320" s="2112">
        <v>96</v>
      </c>
      <c r="V320" s="3894" t="s">
        <v>2207</v>
      </c>
      <c r="W320" s="2646"/>
      <c r="X320" s="2646"/>
      <c r="Y320" s="2646"/>
      <c r="Z320" s="2646"/>
      <c r="AA320" s="2646"/>
      <c r="AB320" s="2646"/>
      <c r="AC320" s="2646"/>
      <c r="AD320" s="2646"/>
      <c r="AE320" s="2646"/>
      <c r="AF320" s="2646"/>
      <c r="AG320" s="2646"/>
      <c r="AH320" s="2646"/>
      <c r="AI320" s="2646"/>
      <c r="AJ320" s="2646"/>
      <c r="AK320" s="2646"/>
      <c r="AL320" s="2646"/>
      <c r="AM320" s="2646"/>
      <c r="AN320" s="2646"/>
      <c r="AO320" s="2646"/>
      <c r="AP320" s="2848"/>
    </row>
    <row r="321" spans="1:42" s="3908" customFormat="1" ht="27" customHeight="1" x14ac:dyDescent="0.2">
      <c r="A321" s="3874"/>
      <c r="B321" s="3874"/>
      <c r="C321" s="3874"/>
      <c r="D321" s="4040"/>
      <c r="E321" s="4040"/>
      <c r="F321" s="2991"/>
      <c r="G321" s="3625">
        <v>1906029</v>
      </c>
      <c r="H321" s="2668">
        <v>13.6</v>
      </c>
      <c r="I321" s="2772" t="s">
        <v>2208</v>
      </c>
      <c r="J321" s="2772" t="s">
        <v>2209</v>
      </c>
      <c r="K321" s="2668">
        <v>40</v>
      </c>
      <c r="L321" s="2092"/>
      <c r="M321" s="2668" t="s">
        <v>2210</v>
      </c>
      <c r="N321" s="2772" t="s">
        <v>2211</v>
      </c>
      <c r="O321" s="2669">
        <v>1</v>
      </c>
      <c r="P321" s="3613">
        <f>SUM(T321:T328)</f>
        <v>1568304000</v>
      </c>
      <c r="Q321" s="3017" t="s">
        <v>2212</v>
      </c>
      <c r="R321" s="2346" t="s">
        <v>2213</v>
      </c>
      <c r="S321" s="2772" t="s">
        <v>2214</v>
      </c>
      <c r="T321" s="4052">
        <v>54790000</v>
      </c>
      <c r="U321" s="2109">
        <v>88</v>
      </c>
      <c r="V321" s="4053" t="s">
        <v>466</v>
      </c>
      <c r="W321" s="2601">
        <v>292684</v>
      </c>
      <c r="X321" s="2601">
        <v>282326</v>
      </c>
      <c r="Y321" s="2601">
        <v>135912</v>
      </c>
      <c r="Z321" s="2601">
        <v>45122</v>
      </c>
      <c r="AA321" s="2601">
        <v>365607</v>
      </c>
      <c r="AB321" s="2601">
        <f>SUM(AA321*0.6)</f>
        <v>219364.19999999998</v>
      </c>
      <c r="AC321" s="2601">
        <v>86875</v>
      </c>
      <c r="AD321" s="2601">
        <v>2145</v>
      </c>
      <c r="AE321" s="2601">
        <v>12718</v>
      </c>
      <c r="AF321" s="2601">
        <v>26</v>
      </c>
      <c r="AG321" s="2601">
        <v>37</v>
      </c>
      <c r="AH321" s="2601">
        <v>0</v>
      </c>
      <c r="AI321" s="2601">
        <v>0</v>
      </c>
      <c r="AJ321" s="2601">
        <v>53164</v>
      </c>
      <c r="AK321" s="2601">
        <v>16982</v>
      </c>
      <c r="AL321" s="2601">
        <v>60013</v>
      </c>
      <c r="AM321" s="2601">
        <v>575010</v>
      </c>
      <c r="AN321" s="3494">
        <v>43832</v>
      </c>
      <c r="AO321" s="3494">
        <v>44196</v>
      </c>
      <c r="AP321" s="2397" t="s">
        <v>1739</v>
      </c>
    </row>
    <row r="322" spans="1:42" s="3908" customFormat="1" ht="27" customHeight="1" x14ac:dyDescent="0.2">
      <c r="A322" s="3874"/>
      <c r="B322" s="3874"/>
      <c r="C322" s="3874"/>
      <c r="D322" s="4040"/>
      <c r="E322" s="4040"/>
      <c r="F322" s="2991"/>
      <c r="G322" s="3625"/>
      <c r="H322" s="2668"/>
      <c r="I322" s="2772"/>
      <c r="J322" s="2772"/>
      <c r="K322" s="2668"/>
      <c r="L322" s="2126" t="s">
        <v>2471</v>
      </c>
      <c r="M322" s="2668"/>
      <c r="N322" s="2772"/>
      <c r="O322" s="2669"/>
      <c r="P322" s="3613"/>
      <c r="Q322" s="3017"/>
      <c r="R322" s="2347"/>
      <c r="S322" s="2772"/>
      <c r="T322" s="4052">
        <v>5600000</v>
      </c>
      <c r="U322" s="2109">
        <v>20</v>
      </c>
      <c r="V322" s="4053" t="s">
        <v>70</v>
      </c>
      <c r="W322" s="2602"/>
      <c r="X322" s="2602"/>
      <c r="Y322" s="2602"/>
      <c r="Z322" s="2602"/>
      <c r="AA322" s="2602"/>
      <c r="AB322" s="2602"/>
      <c r="AC322" s="2602"/>
      <c r="AD322" s="2602"/>
      <c r="AE322" s="2602"/>
      <c r="AF322" s="2602"/>
      <c r="AG322" s="2602"/>
      <c r="AH322" s="2602"/>
      <c r="AI322" s="2602"/>
      <c r="AJ322" s="2602"/>
      <c r="AK322" s="2602"/>
      <c r="AL322" s="2602"/>
      <c r="AM322" s="2602"/>
      <c r="AN322" s="2602"/>
      <c r="AO322" s="2602"/>
      <c r="AP322" s="2398"/>
    </row>
    <row r="323" spans="1:42" s="3908" customFormat="1" ht="27" customHeight="1" x14ac:dyDescent="0.2">
      <c r="A323" s="3874"/>
      <c r="B323" s="3874"/>
      <c r="C323" s="3874"/>
      <c r="D323" s="4040"/>
      <c r="E323" s="4040"/>
      <c r="F323" s="2991"/>
      <c r="G323" s="3625"/>
      <c r="H323" s="2668"/>
      <c r="I323" s="2772"/>
      <c r="J323" s="2772"/>
      <c r="K323" s="2668"/>
      <c r="L323" s="2126" t="s">
        <v>2472</v>
      </c>
      <c r="M323" s="2668"/>
      <c r="N323" s="2772"/>
      <c r="O323" s="2669"/>
      <c r="P323" s="3613"/>
      <c r="Q323" s="3017"/>
      <c r="R323" s="2878"/>
      <c r="S323" s="2086" t="s">
        <v>2473</v>
      </c>
      <c r="T323" s="4054">
        <v>30000000</v>
      </c>
      <c r="U323" s="2109">
        <v>88</v>
      </c>
      <c r="V323" s="4053" t="s">
        <v>466</v>
      </c>
      <c r="W323" s="2602"/>
      <c r="X323" s="2602"/>
      <c r="Y323" s="2602"/>
      <c r="Z323" s="2602"/>
      <c r="AA323" s="2602"/>
      <c r="AB323" s="2602"/>
      <c r="AC323" s="2602"/>
      <c r="AD323" s="2602"/>
      <c r="AE323" s="2602"/>
      <c r="AF323" s="2602"/>
      <c r="AG323" s="2602"/>
      <c r="AH323" s="2602"/>
      <c r="AI323" s="2602"/>
      <c r="AJ323" s="2602"/>
      <c r="AK323" s="2602"/>
      <c r="AL323" s="2602"/>
      <c r="AM323" s="2602"/>
      <c r="AN323" s="2602"/>
      <c r="AO323" s="2602"/>
      <c r="AP323" s="2398"/>
    </row>
    <row r="324" spans="1:42" s="3908" customFormat="1" ht="42" customHeight="1" x14ac:dyDescent="0.2">
      <c r="A324" s="3874"/>
      <c r="B324" s="3874"/>
      <c r="C324" s="3874"/>
      <c r="D324" s="4040"/>
      <c r="E324" s="4040"/>
      <c r="F324" s="2991"/>
      <c r="G324" s="3625"/>
      <c r="H324" s="2668"/>
      <c r="I324" s="2772"/>
      <c r="J324" s="2772"/>
      <c r="K324" s="2668"/>
      <c r="L324" s="2126" t="s">
        <v>2474</v>
      </c>
      <c r="M324" s="2668"/>
      <c r="N324" s="2772"/>
      <c r="O324" s="2669"/>
      <c r="P324" s="3613"/>
      <c r="Q324" s="3017"/>
      <c r="R324" s="2347"/>
      <c r="S324" s="2087" t="s">
        <v>2215</v>
      </c>
      <c r="T324" s="3916">
        <v>30000000</v>
      </c>
      <c r="U324" s="3958" t="s">
        <v>1861</v>
      </c>
      <c r="V324" s="3987" t="s">
        <v>466</v>
      </c>
      <c r="W324" s="2602"/>
      <c r="X324" s="2602"/>
      <c r="Y324" s="2602"/>
      <c r="Z324" s="2602"/>
      <c r="AA324" s="2602"/>
      <c r="AB324" s="2602"/>
      <c r="AC324" s="2602"/>
      <c r="AD324" s="2602"/>
      <c r="AE324" s="2602"/>
      <c r="AF324" s="2602"/>
      <c r="AG324" s="2602"/>
      <c r="AH324" s="2602"/>
      <c r="AI324" s="2602"/>
      <c r="AJ324" s="2602"/>
      <c r="AK324" s="2602"/>
      <c r="AL324" s="2602"/>
      <c r="AM324" s="2602"/>
      <c r="AN324" s="2602"/>
      <c r="AO324" s="2602"/>
      <c r="AP324" s="2398"/>
    </row>
    <row r="325" spans="1:42" s="3908" customFormat="1" ht="36.75" customHeight="1" x14ac:dyDescent="0.2">
      <c r="A325" s="3874"/>
      <c r="B325" s="3874"/>
      <c r="C325" s="3874"/>
      <c r="D325" s="4040"/>
      <c r="E325" s="4040"/>
      <c r="F325" s="2991"/>
      <c r="G325" s="3625"/>
      <c r="H325" s="2668"/>
      <c r="I325" s="2772"/>
      <c r="J325" s="2772"/>
      <c r="K325" s="2668"/>
      <c r="L325" s="2126" t="s">
        <v>2475</v>
      </c>
      <c r="M325" s="2668"/>
      <c r="N325" s="2772"/>
      <c r="O325" s="2669"/>
      <c r="P325" s="3613"/>
      <c r="Q325" s="3017"/>
      <c r="R325" s="2347"/>
      <c r="S325" s="2087" t="s">
        <v>2216</v>
      </c>
      <c r="T325" s="3916">
        <v>30000000</v>
      </c>
      <c r="U325" s="3958" t="s">
        <v>1861</v>
      </c>
      <c r="V325" s="3990" t="s">
        <v>466</v>
      </c>
      <c r="W325" s="2602"/>
      <c r="X325" s="2602"/>
      <c r="Y325" s="2602"/>
      <c r="Z325" s="2602"/>
      <c r="AA325" s="2602"/>
      <c r="AB325" s="2602"/>
      <c r="AC325" s="2602"/>
      <c r="AD325" s="2602"/>
      <c r="AE325" s="2602"/>
      <c r="AF325" s="2602"/>
      <c r="AG325" s="2602"/>
      <c r="AH325" s="2602"/>
      <c r="AI325" s="2602"/>
      <c r="AJ325" s="2602"/>
      <c r="AK325" s="2602"/>
      <c r="AL325" s="2602"/>
      <c r="AM325" s="2602"/>
      <c r="AN325" s="2602"/>
      <c r="AO325" s="2602"/>
      <c r="AP325" s="2398"/>
    </row>
    <row r="326" spans="1:42" s="3908" customFormat="1" ht="27" customHeight="1" x14ac:dyDescent="0.2">
      <c r="A326" s="3874"/>
      <c r="B326" s="3874"/>
      <c r="C326" s="3874"/>
      <c r="D326" s="4040"/>
      <c r="E326" s="4040"/>
      <c r="F326" s="2991"/>
      <c r="G326" s="3625"/>
      <c r="H326" s="2668"/>
      <c r="I326" s="2772"/>
      <c r="J326" s="2772"/>
      <c r="K326" s="2668"/>
      <c r="L326" s="2126"/>
      <c r="M326" s="2668"/>
      <c r="N326" s="2772"/>
      <c r="O326" s="2669"/>
      <c r="P326" s="3613"/>
      <c r="Q326" s="3017"/>
      <c r="R326" s="2347"/>
      <c r="S326" s="2772" t="s">
        <v>2217</v>
      </c>
      <c r="T326" s="3898">
        <v>467546000</v>
      </c>
      <c r="U326" s="3958" t="s">
        <v>2218</v>
      </c>
      <c r="V326" s="4008" t="s">
        <v>2219</v>
      </c>
      <c r="W326" s="2645"/>
      <c r="X326" s="2645"/>
      <c r="Y326" s="2645"/>
      <c r="Z326" s="2645"/>
      <c r="AA326" s="2645"/>
      <c r="AB326" s="2645"/>
      <c r="AC326" s="2645"/>
      <c r="AD326" s="2645"/>
      <c r="AE326" s="2645"/>
      <c r="AF326" s="2645"/>
      <c r="AG326" s="2645"/>
      <c r="AH326" s="2645"/>
      <c r="AI326" s="2645"/>
      <c r="AJ326" s="2645"/>
      <c r="AK326" s="2645"/>
      <c r="AL326" s="2645"/>
      <c r="AM326" s="2645"/>
      <c r="AN326" s="2645"/>
      <c r="AO326" s="2645"/>
      <c r="AP326" s="2847"/>
    </row>
    <row r="327" spans="1:42" s="3908" customFormat="1" ht="27" customHeight="1" x14ac:dyDescent="0.2">
      <c r="A327" s="3874"/>
      <c r="B327" s="3874"/>
      <c r="C327" s="3874"/>
      <c r="D327" s="4040"/>
      <c r="E327" s="4040"/>
      <c r="F327" s="2991"/>
      <c r="G327" s="3625"/>
      <c r="H327" s="2668"/>
      <c r="I327" s="2772"/>
      <c r="J327" s="2772"/>
      <c r="K327" s="2668"/>
      <c r="L327" s="2126"/>
      <c r="M327" s="2668"/>
      <c r="N327" s="2772"/>
      <c r="O327" s="2669"/>
      <c r="P327" s="3613"/>
      <c r="Q327" s="3017"/>
      <c r="R327" s="2347"/>
      <c r="S327" s="2772"/>
      <c r="T327" s="3898">
        <v>170368000</v>
      </c>
      <c r="U327" s="3958" t="s">
        <v>2476</v>
      </c>
      <c r="V327" s="846" t="s">
        <v>2477</v>
      </c>
      <c r="W327" s="2645"/>
      <c r="X327" s="2645"/>
      <c r="Y327" s="2645"/>
      <c r="Z327" s="2645"/>
      <c r="AA327" s="2645"/>
      <c r="AB327" s="2645"/>
      <c r="AC327" s="2645"/>
      <c r="AD327" s="2645"/>
      <c r="AE327" s="2645"/>
      <c r="AF327" s="2645"/>
      <c r="AG327" s="2645"/>
      <c r="AH327" s="2645"/>
      <c r="AI327" s="2645"/>
      <c r="AJ327" s="2645"/>
      <c r="AK327" s="2645"/>
      <c r="AL327" s="2645"/>
      <c r="AM327" s="2645"/>
      <c r="AN327" s="2645"/>
      <c r="AO327" s="2645"/>
      <c r="AP327" s="2847"/>
    </row>
    <row r="328" spans="1:42" s="3908" customFormat="1" ht="27" customHeight="1" x14ac:dyDescent="0.2">
      <c r="A328" s="3874"/>
      <c r="B328" s="3874"/>
      <c r="C328" s="3874"/>
      <c r="D328" s="4040"/>
      <c r="E328" s="4040"/>
      <c r="F328" s="2991"/>
      <c r="G328" s="3625"/>
      <c r="H328" s="2668"/>
      <c r="I328" s="2772"/>
      <c r="J328" s="2772"/>
      <c r="K328" s="2668"/>
      <c r="L328" s="2090"/>
      <c r="M328" s="2668"/>
      <c r="N328" s="2772"/>
      <c r="O328" s="2669"/>
      <c r="P328" s="3613"/>
      <c r="Q328" s="3017"/>
      <c r="R328" s="2347"/>
      <c r="S328" s="2772"/>
      <c r="T328" s="3898">
        <f>0+780000000</f>
        <v>780000000</v>
      </c>
      <c r="U328" s="3958" t="s">
        <v>1861</v>
      </c>
      <c r="V328" s="3990" t="s">
        <v>466</v>
      </c>
      <c r="W328" s="2645"/>
      <c r="X328" s="2645"/>
      <c r="Y328" s="2645"/>
      <c r="Z328" s="2645"/>
      <c r="AA328" s="2645"/>
      <c r="AB328" s="2645"/>
      <c r="AC328" s="2645"/>
      <c r="AD328" s="2645"/>
      <c r="AE328" s="2645"/>
      <c r="AF328" s="2645"/>
      <c r="AG328" s="2645"/>
      <c r="AH328" s="2645"/>
      <c r="AI328" s="2645"/>
      <c r="AJ328" s="2645"/>
      <c r="AK328" s="2645"/>
      <c r="AL328" s="2645"/>
      <c r="AM328" s="2645"/>
      <c r="AN328" s="2645"/>
      <c r="AO328" s="2645"/>
      <c r="AP328" s="2848"/>
    </row>
    <row r="329" spans="1:42" s="3908" customFormat="1" ht="29.25" customHeight="1" x14ac:dyDescent="0.2">
      <c r="A329" s="3874"/>
      <c r="B329" s="3874"/>
      <c r="C329" s="3874"/>
      <c r="D329" s="4055"/>
      <c r="E329" s="4055"/>
      <c r="F329" s="2992"/>
      <c r="G329" s="596"/>
      <c r="H329" s="1229"/>
      <c r="I329" s="2117"/>
      <c r="J329" s="2117"/>
      <c r="K329" s="2107"/>
      <c r="L329" s="2117"/>
      <c r="M329" s="2107"/>
      <c r="N329" s="2117"/>
      <c r="O329" s="2125"/>
      <c r="P329" s="4056">
        <f>SUM(P12:P328)</f>
        <v>49515588163.320007</v>
      </c>
      <c r="Q329" s="4057"/>
      <c r="R329" s="4057"/>
      <c r="S329" s="4058"/>
      <c r="T329" s="4059">
        <f>SUM(T12:T328)</f>
        <v>49515588163.320007</v>
      </c>
      <c r="U329" s="4060"/>
      <c r="V329" s="4061"/>
      <c r="W329" s="1412"/>
      <c r="X329" s="1412"/>
      <c r="Y329" s="1412"/>
      <c r="Z329" s="1412"/>
      <c r="AA329" s="1412"/>
      <c r="AB329" s="1412"/>
      <c r="AC329" s="1412"/>
      <c r="AD329" s="1412"/>
      <c r="AE329" s="1412"/>
      <c r="AF329" s="1412"/>
      <c r="AG329" s="1412"/>
      <c r="AH329" s="1412"/>
      <c r="AI329" s="1412"/>
      <c r="AJ329" s="1412"/>
      <c r="AK329" s="1412"/>
      <c r="AL329" s="1412"/>
      <c r="AM329" s="1412"/>
      <c r="AN329" s="1412"/>
      <c r="AO329" s="1412"/>
      <c r="AP329" s="1412"/>
    </row>
    <row r="330" spans="1:42" s="3908" customFormat="1" ht="15" x14ac:dyDescent="0.2">
      <c r="A330" s="4062"/>
      <c r="I330" s="4063"/>
      <c r="J330" s="4063"/>
      <c r="K330" s="4064"/>
      <c r="L330" s="1269"/>
      <c r="M330" s="4065"/>
      <c r="N330" s="1269"/>
      <c r="O330" s="4066"/>
      <c r="P330" s="1270"/>
      <c r="Q330" s="1269"/>
      <c r="R330" s="1269"/>
      <c r="S330" s="1269"/>
      <c r="T330" s="4067"/>
      <c r="U330" s="4068"/>
      <c r="V330" s="4063"/>
      <c r="AO330" s="4069"/>
      <c r="AP330" s="4070"/>
    </row>
    <row r="331" spans="1:42" s="3908" customFormat="1" ht="15" x14ac:dyDescent="0.2">
      <c r="A331" s="4062"/>
      <c r="I331" s="4063"/>
      <c r="J331" s="4063"/>
      <c r="K331" s="4064"/>
      <c r="L331" s="4063"/>
      <c r="M331" s="4071"/>
      <c r="N331" s="4063"/>
      <c r="O331" s="4072"/>
      <c r="P331" s="4073"/>
      <c r="Q331" s="4063"/>
      <c r="R331" s="4063"/>
      <c r="S331" s="4074"/>
      <c r="T331" s="4075"/>
      <c r="U331" s="4068"/>
      <c r="V331" s="4063"/>
      <c r="AO331" s="4069"/>
      <c r="AP331" s="4070"/>
    </row>
    <row r="332" spans="1:42" x14ac:dyDescent="0.2">
      <c r="T332" s="4077"/>
      <c r="AN332" s="360"/>
    </row>
    <row r="333" spans="1:42" ht="15" x14ac:dyDescent="0.2">
      <c r="T333" s="4075"/>
      <c r="AN333" s="360"/>
    </row>
    <row r="334" spans="1:42" x14ac:dyDescent="0.2">
      <c r="G334" s="4078"/>
      <c r="AN334" s="360"/>
    </row>
    <row r="335" spans="1:42" x14ac:dyDescent="0.2">
      <c r="T335" s="4077"/>
      <c r="AN335" s="360"/>
    </row>
    <row r="336" spans="1:42" x14ac:dyDescent="0.2">
      <c r="AN336" s="360"/>
    </row>
    <row r="337" spans="40:40" x14ac:dyDescent="0.2">
      <c r="AN337" s="360"/>
    </row>
    <row r="338" spans="40:40" x14ac:dyDescent="0.2">
      <c r="AN338" s="360"/>
    </row>
    <row r="339" spans="40:40" x14ac:dyDescent="0.2">
      <c r="AN339" s="360"/>
    </row>
  </sheetData>
  <sheetProtection password="A60F" sheet="1" objects="1" scenarios="1"/>
  <mergeCells count="984">
    <mergeCell ref="AO321:AO328"/>
    <mergeCell ref="AP321:AP328"/>
    <mergeCell ref="S326:S328"/>
    <mergeCell ref="AI321:AI328"/>
    <mergeCell ref="AJ321:AJ328"/>
    <mergeCell ref="AK321:AK328"/>
    <mergeCell ref="AL321:AL328"/>
    <mergeCell ref="AM321:AM328"/>
    <mergeCell ref="AN321:AN328"/>
    <mergeCell ref="AC321:AC328"/>
    <mergeCell ref="AD321:AD328"/>
    <mergeCell ref="AE321:AE328"/>
    <mergeCell ref="AF321:AF328"/>
    <mergeCell ref="AG321:AG328"/>
    <mergeCell ref="AH321:AH328"/>
    <mergeCell ref="W321:W328"/>
    <mergeCell ref="X321:X328"/>
    <mergeCell ref="Y321:Y328"/>
    <mergeCell ref="Z321:Z328"/>
    <mergeCell ref="AA321:AA328"/>
    <mergeCell ref="AB321:AB328"/>
    <mergeCell ref="N321:N328"/>
    <mergeCell ref="O321:O328"/>
    <mergeCell ref="P321:P328"/>
    <mergeCell ref="Q321:Q328"/>
    <mergeCell ref="R321:R328"/>
    <mergeCell ref="S321:S322"/>
    <mergeCell ref="G321:G328"/>
    <mergeCell ref="H321:H328"/>
    <mergeCell ref="I321:I328"/>
    <mergeCell ref="J321:J328"/>
    <mergeCell ref="K321:K328"/>
    <mergeCell ref="M321:M328"/>
    <mergeCell ref="AO304:AO320"/>
    <mergeCell ref="AP304:AP320"/>
    <mergeCell ref="G309:G320"/>
    <mergeCell ref="H309:H320"/>
    <mergeCell ref="I309:I320"/>
    <mergeCell ref="J309:J320"/>
    <mergeCell ref="K309:K320"/>
    <mergeCell ref="O309:O320"/>
    <mergeCell ref="S309:S320"/>
    <mergeCell ref="AI304:AI320"/>
    <mergeCell ref="AJ304:AJ320"/>
    <mergeCell ref="AK304:AK320"/>
    <mergeCell ref="AL304:AL320"/>
    <mergeCell ref="AM304:AM320"/>
    <mergeCell ref="AN304:AN320"/>
    <mergeCell ref="AC304:AC320"/>
    <mergeCell ref="AD304:AD320"/>
    <mergeCell ref="AE304:AE320"/>
    <mergeCell ref="AF304:AF320"/>
    <mergeCell ref="AG304:AG320"/>
    <mergeCell ref="AH304:AH320"/>
    <mergeCell ref="W304:W320"/>
    <mergeCell ref="X304:X320"/>
    <mergeCell ref="Y304:Y320"/>
    <mergeCell ref="Z304:Z320"/>
    <mergeCell ref="AA304:AA320"/>
    <mergeCell ref="AB304:AB320"/>
    <mergeCell ref="N304:N320"/>
    <mergeCell ref="O304:O307"/>
    <mergeCell ref="P304:P320"/>
    <mergeCell ref="Q304:Q320"/>
    <mergeCell ref="R304:R320"/>
    <mergeCell ref="S304:S306"/>
    <mergeCell ref="G304:G307"/>
    <mergeCell ref="H304:H307"/>
    <mergeCell ref="I304:I307"/>
    <mergeCell ref="J304:J306"/>
    <mergeCell ref="K304:K306"/>
    <mergeCell ref="M304:M320"/>
    <mergeCell ref="AP298:AP303"/>
    <mergeCell ref="G299:G303"/>
    <mergeCell ref="H299:H303"/>
    <mergeCell ref="I299:I303"/>
    <mergeCell ref="J299:J303"/>
    <mergeCell ref="K299:K303"/>
    <mergeCell ref="O299:O303"/>
    <mergeCell ref="S299:S302"/>
    <mergeCell ref="AJ298:AJ303"/>
    <mergeCell ref="AK298:AK303"/>
    <mergeCell ref="AL298:AL303"/>
    <mergeCell ref="AM298:AM303"/>
    <mergeCell ref="AN298:AN303"/>
    <mergeCell ref="AO298:AO303"/>
    <mergeCell ref="AD298:AD303"/>
    <mergeCell ref="AE298:AE303"/>
    <mergeCell ref="AF298:AF303"/>
    <mergeCell ref="AG298:AG303"/>
    <mergeCell ref="AH298:AH303"/>
    <mergeCell ref="AI298:AI303"/>
    <mergeCell ref="X298:X303"/>
    <mergeCell ref="Y298:Y303"/>
    <mergeCell ref="Z298:Z303"/>
    <mergeCell ref="AA298:AA303"/>
    <mergeCell ref="AB298:AB303"/>
    <mergeCell ref="AC298:AC303"/>
    <mergeCell ref="AO289:AO296"/>
    <mergeCell ref="AP289:AP296"/>
    <mergeCell ref="S293:S294"/>
    <mergeCell ref="D298:F329"/>
    <mergeCell ref="M298:M303"/>
    <mergeCell ref="N298:N303"/>
    <mergeCell ref="P298:P303"/>
    <mergeCell ref="Q298:Q303"/>
    <mergeCell ref="R298:R303"/>
    <mergeCell ref="W298:W303"/>
    <mergeCell ref="AI289:AI296"/>
    <mergeCell ref="AJ289:AJ296"/>
    <mergeCell ref="AK289:AK296"/>
    <mergeCell ref="AL289:AL296"/>
    <mergeCell ref="AM289:AM296"/>
    <mergeCell ref="AN289:AN296"/>
    <mergeCell ref="AC289:AC296"/>
    <mergeCell ref="AD289:AD296"/>
    <mergeCell ref="AE289:AE296"/>
    <mergeCell ref="AF289:AF296"/>
    <mergeCell ref="AG289:AG296"/>
    <mergeCell ref="AH289:AH296"/>
    <mergeCell ref="W289:W296"/>
    <mergeCell ref="X289:X296"/>
    <mergeCell ref="Y289:Y296"/>
    <mergeCell ref="Z289:Z296"/>
    <mergeCell ref="AA289:AA296"/>
    <mergeCell ref="AB289:AB296"/>
    <mergeCell ref="M289:M296"/>
    <mergeCell ref="N289:N296"/>
    <mergeCell ref="O289:O296"/>
    <mergeCell ref="P289:P296"/>
    <mergeCell ref="Q289:Q296"/>
    <mergeCell ref="R289:R296"/>
    <mergeCell ref="AO279:AO288"/>
    <mergeCell ref="AP279:AP288"/>
    <mergeCell ref="S281:S282"/>
    <mergeCell ref="S284:S285"/>
    <mergeCell ref="S286:S287"/>
    <mergeCell ref="G289:G296"/>
    <mergeCell ref="H289:H296"/>
    <mergeCell ref="I289:I296"/>
    <mergeCell ref="J289:J296"/>
    <mergeCell ref="K289:K296"/>
    <mergeCell ref="AI279:AI288"/>
    <mergeCell ref="AJ279:AJ288"/>
    <mergeCell ref="AK279:AK288"/>
    <mergeCell ref="AL279:AL288"/>
    <mergeCell ref="AM279:AM288"/>
    <mergeCell ref="AN279:AN288"/>
    <mergeCell ref="AC279:AC288"/>
    <mergeCell ref="AD279:AD288"/>
    <mergeCell ref="AE279:AE288"/>
    <mergeCell ref="AF279:AF288"/>
    <mergeCell ref="AG279:AG288"/>
    <mergeCell ref="AH279:AH288"/>
    <mergeCell ref="W279:W288"/>
    <mergeCell ref="X279:X288"/>
    <mergeCell ref="Y279:Y288"/>
    <mergeCell ref="Z279:Z288"/>
    <mergeCell ref="AA279:AA288"/>
    <mergeCell ref="AB279:AB288"/>
    <mergeCell ref="N279:N288"/>
    <mergeCell ref="O279:O288"/>
    <mergeCell ref="P279:P288"/>
    <mergeCell ref="Q279:Q288"/>
    <mergeCell ref="R279:R288"/>
    <mergeCell ref="S279:S280"/>
    <mergeCell ref="G279:G288"/>
    <mergeCell ref="H279:H288"/>
    <mergeCell ref="I279:I288"/>
    <mergeCell ref="J279:J288"/>
    <mergeCell ref="K279:K288"/>
    <mergeCell ref="M279:M288"/>
    <mergeCell ref="AK276:AK278"/>
    <mergeCell ref="AL276:AL278"/>
    <mergeCell ref="AM276:AM278"/>
    <mergeCell ref="AN276:AN278"/>
    <mergeCell ref="AO276:AO278"/>
    <mergeCell ref="AP276:AP278"/>
    <mergeCell ref="AE276:AE278"/>
    <mergeCell ref="AF276:AF278"/>
    <mergeCell ref="AG276:AG278"/>
    <mergeCell ref="AH276:AH278"/>
    <mergeCell ref="AI276:AI278"/>
    <mergeCell ref="AJ276:AJ278"/>
    <mergeCell ref="Y276:Y278"/>
    <mergeCell ref="Z276:Z278"/>
    <mergeCell ref="AA276:AA278"/>
    <mergeCell ref="AB276:AB278"/>
    <mergeCell ref="AC276:AC278"/>
    <mergeCell ref="AD276:AD278"/>
    <mergeCell ref="O276:O278"/>
    <mergeCell ref="P276:P278"/>
    <mergeCell ref="Q276:Q278"/>
    <mergeCell ref="R276:R278"/>
    <mergeCell ref="W276:W278"/>
    <mergeCell ref="X276:X278"/>
    <mergeCell ref="AO264:AO275"/>
    <mergeCell ref="AP264:AP275"/>
    <mergeCell ref="G276:G278"/>
    <mergeCell ref="H276:H278"/>
    <mergeCell ref="I276:I278"/>
    <mergeCell ref="J276:J278"/>
    <mergeCell ref="K276:K278"/>
    <mergeCell ref="L276:L278"/>
    <mergeCell ref="M276:M278"/>
    <mergeCell ref="N276:N278"/>
    <mergeCell ref="AI264:AI275"/>
    <mergeCell ref="AJ264:AJ275"/>
    <mergeCell ref="AK264:AK275"/>
    <mergeCell ref="AL264:AL275"/>
    <mergeCell ref="AM264:AM275"/>
    <mergeCell ref="AN264:AN275"/>
    <mergeCell ref="AC264:AC275"/>
    <mergeCell ref="AD264:AD275"/>
    <mergeCell ref="AE264:AE275"/>
    <mergeCell ref="AF264:AF275"/>
    <mergeCell ref="AG264:AG275"/>
    <mergeCell ref="AH264:AH275"/>
    <mergeCell ref="W264:W275"/>
    <mergeCell ref="X264:X275"/>
    <mergeCell ref="Y264:Y275"/>
    <mergeCell ref="Z264:Z275"/>
    <mergeCell ref="AA264:AA275"/>
    <mergeCell ref="AB264:AB275"/>
    <mergeCell ref="M264:M275"/>
    <mergeCell ref="N264:N275"/>
    <mergeCell ref="O264:O275"/>
    <mergeCell ref="P264:P275"/>
    <mergeCell ref="Q264:Q275"/>
    <mergeCell ref="R264:R275"/>
    <mergeCell ref="AL262:AL263"/>
    <mergeCell ref="AM262:AM263"/>
    <mergeCell ref="AN262:AN263"/>
    <mergeCell ref="AO262:AO263"/>
    <mergeCell ref="AP262:AP263"/>
    <mergeCell ref="G264:G275"/>
    <mergeCell ref="H264:H275"/>
    <mergeCell ref="I264:I275"/>
    <mergeCell ref="J264:J275"/>
    <mergeCell ref="K264:K275"/>
    <mergeCell ref="AF262:AF263"/>
    <mergeCell ref="AG262:AG263"/>
    <mergeCell ref="AH262:AH263"/>
    <mergeCell ref="AI262:AI263"/>
    <mergeCell ref="AJ262:AJ263"/>
    <mergeCell ref="AK262:AK263"/>
    <mergeCell ref="Z262:Z263"/>
    <mergeCell ref="AA262:AA263"/>
    <mergeCell ref="AB262:AB263"/>
    <mergeCell ref="AC262:AC263"/>
    <mergeCell ref="AD262:AD263"/>
    <mergeCell ref="AE262:AE263"/>
    <mergeCell ref="AP254:AP261"/>
    <mergeCell ref="L262:L263"/>
    <mergeCell ref="M262:M263"/>
    <mergeCell ref="N262:N263"/>
    <mergeCell ref="P262:P263"/>
    <mergeCell ref="Q262:Q263"/>
    <mergeCell ref="R262:R263"/>
    <mergeCell ref="W262:W263"/>
    <mergeCell ref="X262:X263"/>
    <mergeCell ref="Y262:Y263"/>
    <mergeCell ref="AJ254:AJ261"/>
    <mergeCell ref="AK254:AK261"/>
    <mergeCell ref="AL254:AL261"/>
    <mergeCell ref="AM254:AM261"/>
    <mergeCell ref="AN254:AN261"/>
    <mergeCell ref="AO254:AO261"/>
    <mergeCell ref="AD254:AD261"/>
    <mergeCell ref="AE254:AE261"/>
    <mergeCell ref="AF254:AF261"/>
    <mergeCell ref="AG254:AG261"/>
    <mergeCell ref="AH254:AH261"/>
    <mergeCell ref="AI254:AI261"/>
    <mergeCell ref="X254:X261"/>
    <mergeCell ref="Y254:Y261"/>
    <mergeCell ref="Z254:Z261"/>
    <mergeCell ref="AA254:AA261"/>
    <mergeCell ref="AB254:AB261"/>
    <mergeCell ref="AC254:AC261"/>
    <mergeCell ref="N254:N261"/>
    <mergeCell ref="O254:O261"/>
    <mergeCell ref="P254:P261"/>
    <mergeCell ref="Q254:Q261"/>
    <mergeCell ref="R254:R261"/>
    <mergeCell ref="W254:W261"/>
    <mergeCell ref="G254:G261"/>
    <mergeCell ref="H254:H261"/>
    <mergeCell ref="I254:I261"/>
    <mergeCell ref="J254:J261"/>
    <mergeCell ref="K254:K261"/>
    <mergeCell ref="M254:M261"/>
    <mergeCell ref="AP234:AP253"/>
    <mergeCell ref="G235:G253"/>
    <mergeCell ref="H235:H253"/>
    <mergeCell ref="I235:I253"/>
    <mergeCell ref="J235:J253"/>
    <mergeCell ref="K235:K253"/>
    <mergeCell ref="O235:O253"/>
    <mergeCell ref="S235:S236"/>
    <mergeCell ref="S238:S240"/>
    <mergeCell ref="S241:S243"/>
    <mergeCell ref="AJ234:AJ253"/>
    <mergeCell ref="AK234:AK253"/>
    <mergeCell ref="AL234:AL253"/>
    <mergeCell ref="AM234:AM253"/>
    <mergeCell ref="AN234:AN253"/>
    <mergeCell ref="AO234:AO253"/>
    <mergeCell ref="AD234:AD253"/>
    <mergeCell ref="AE234:AE253"/>
    <mergeCell ref="AF234:AF253"/>
    <mergeCell ref="AG234:AG253"/>
    <mergeCell ref="AH234:AH253"/>
    <mergeCell ref="AI234:AI253"/>
    <mergeCell ref="X234:X253"/>
    <mergeCell ref="Y234:Y253"/>
    <mergeCell ref="Z234:Z253"/>
    <mergeCell ref="AA234:AA253"/>
    <mergeCell ref="AB234:AB253"/>
    <mergeCell ref="AC234:AC253"/>
    <mergeCell ref="M234:M253"/>
    <mergeCell ref="N234:N253"/>
    <mergeCell ref="P234:P253"/>
    <mergeCell ref="Q234:Q253"/>
    <mergeCell ref="R234:R253"/>
    <mergeCell ref="W234:W253"/>
    <mergeCell ref="S244:S246"/>
    <mergeCell ref="S248:S250"/>
    <mergeCell ref="S251:S253"/>
    <mergeCell ref="AO216:AO233"/>
    <mergeCell ref="AP216:AP233"/>
    <mergeCell ref="S220:S221"/>
    <mergeCell ref="G225:G233"/>
    <mergeCell ref="H225:H233"/>
    <mergeCell ref="I225:I233"/>
    <mergeCell ref="J225:J233"/>
    <mergeCell ref="K225:K233"/>
    <mergeCell ref="O225:O233"/>
    <mergeCell ref="S225:S229"/>
    <mergeCell ref="AI216:AI233"/>
    <mergeCell ref="AJ216:AJ233"/>
    <mergeCell ref="AK216:AK233"/>
    <mergeCell ref="AL216:AL233"/>
    <mergeCell ref="AM216:AM233"/>
    <mergeCell ref="AN216:AN233"/>
    <mergeCell ref="AC216:AC233"/>
    <mergeCell ref="AD216:AD233"/>
    <mergeCell ref="AE216:AE233"/>
    <mergeCell ref="AF216:AF233"/>
    <mergeCell ref="AG216:AG233"/>
    <mergeCell ref="AH216:AH233"/>
    <mergeCell ref="W216:W233"/>
    <mergeCell ref="X216:X233"/>
    <mergeCell ref="Y216:Y233"/>
    <mergeCell ref="Z216:Z233"/>
    <mergeCell ref="AA216:AA233"/>
    <mergeCell ref="AB216:AB233"/>
    <mergeCell ref="N216:N233"/>
    <mergeCell ref="O216:O224"/>
    <mergeCell ref="P216:P233"/>
    <mergeCell ref="Q216:Q233"/>
    <mergeCell ref="R216:R233"/>
    <mergeCell ref="S216:S218"/>
    <mergeCell ref="G216:G224"/>
    <mergeCell ref="H216:H224"/>
    <mergeCell ref="I216:I224"/>
    <mergeCell ref="J216:J224"/>
    <mergeCell ref="K216:K224"/>
    <mergeCell ref="M216:M233"/>
    <mergeCell ref="AP194:AP215"/>
    <mergeCell ref="G199:G204"/>
    <mergeCell ref="H199:H204"/>
    <mergeCell ref="I199:I204"/>
    <mergeCell ref="J199:J204"/>
    <mergeCell ref="K199:K204"/>
    <mergeCell ref="O199:O204"/>
    <mergeCell ref="G205:G215"/>
    <mergeCell ref="H205:H215"/>
    <mergeCell ref="I205:I215"/>
    <mergeCell ref="AJ194:AJ215"/>
    <mergeCell ref="AK194:AK215"/>
    <mergeCell ref="AL194:AL215"/>
    <mergeCell ref="AM194:AM215"/>
    <mergeCell ref="AN194:AN215"/>
    <mergeCell ref="AO194:AO215"/>
    <mergeCell ref="AD194:AD215"/>
    <mergeCell ref="AE194:AE215"/>
    <mergeCell ref="AF194:AF215"/>
    <mergeCell ref="AG194:AG215"/>
    <mergeCell ref="AH194:AH215"/>
    <mergeCell ref="AI194:AI215"/>
    <mergeCell ref="X194:X215"/>
    <mergeCell ref="Y194:Y215"/>
    <mergeCell ref="Z194:Z215"/>
    <mergeCell ref="AA194:AA215"/>
    <mergeCell ref="AB194:AB215"/>
    <mergeCell ref="AC194:AC215"/>
    <mergeCell ref="N194:N215"/>
    <mergeCell ref="O194:O198"/>
    <mergeCell ref="P194:P215"/>
    <mergeCell ref="Q194:Q215"/>
    <mergeCell ref="R194:R215"/>
    <mergeCell ref="W194:W215"/>
    <mergeCell ref="O205:O215"/>
    <mergeCell ref="G194:G198"/>
    <mergeCell ref="H194:H198"/>
    <mergeCell ref="I194:I198"/>
    <mergeCell ref="J194:J198"/>
    <mergeCell ref="K194:K198"/>
    <mergeCell ref="M194:M215"/>
    <mergeCell ref="J205:J215"/>
    <mergeCell ref="K205:K215"/>
    <mergeCell ref="AP183:AP193"/>
    <mergeCell ref="G188:G193"/>
    <mergeCell ref="H188:H193"/>
    <mergeCell ref="I188:I193"/>
    <mergeCell ref="J188:J193"/>
    <mergeCell ref="K188:K193"/>
    <mergeCell ref="O188:O193"/>
    <mergeCell ref="AJ183:AJ193"/>
    <mergeCell ref="AK183:AK193"/>
    <mergeCell ref="AL183:AL193"/>
    <mergeCell ref="AM183:AM193"/>
    <mergeCell ref="AN183:AN193"/>
    <mergeCell ref="AO183:AO193"/>
    <mergeCell ref="AD183:AD193"/>
    <mergeCell ref="AE183:AE193"/>
    <mergeCell ref="AF183:AF193"/>
    <mergeCell ref="AG183:AG193"/>
    <mergeCell ref="AH183:AH193"/>
    <mergeCell ref="AI183:AI193"/>
    <mergeCell ref="X183:X193"/>
    <mergeCell ref="Y183:Y193"/>
    <mergeCell ref="Z183:Z193"/>
    <mergeCell ref="AA183:AA193"/>
    <mergeCell ref="AB183:AB193"/>
    <mergeCell ref="AC183:AC193"/>
    <mergeCell ref="N183:N193"/>
    <mergeCell ref="O183:O187"/>
    <mergeCell ref="P183:P193"/>
    <mergeCell ref="Q183:Q193"/>
    <mergeCell ref="R183:R193"/>
    <mergeCell ref="W183:W193"/>
    <mergeCell ref="G183:G187"/>
    <mergeCell ref="H183:H187"/>
    <mergeCell ref="I183:I187"/>
    <mergeCell ref="J183:J187"/>
    <mergeCell ref="K183:K187"/>
    <mergeCell ref="M183:M193"/>
    <mergeCell ref="AP167:AP182"/>
    <mergeCell ref="G171:G175"/>
    <mergeCell ref="H171:H175"/>
    <mergeCell ref="I171:I175"/>
    <mergeCell ref="J171:J175"/>
    <mergeCell ref="K171:K175"/>
    <mergeCell ref="O171:O175"/>
    <mergeCell ref="G176:G182"/>
    <mergeCell ref="H176:H182"/>
    <mergeCell ref="I176:I182"/>
    <mergeCell ref="AJ167:AJ182"/>
    <mergeCell ref="AK167:AK182"/>
    <mergeCell ref="AL167:AL182"/>
    <mergeCell ref="AM167:AM182"/>
    <mergeCell ref="AN167:AN182"/>
    <mergeCell ref="AO167:AO182"/>
    <mergeCell ref="AD167:AD182"/>
    <mergeCell ref="AE167:AE182"/>
    <mergeCell ref="AF167:AF182"/>
    <mergeCell ref="AG167:AG182"/>
    <mergeCell ref="AH167:AH182"/>
    <mergeCell ref="AI167:AI182"/>
    <mergeCell ref="X167:X182"/>
    <mergeCell ref="Y167:Y182"/>
    <mergeCell ref="Z167:Z182"/>
    <mergeCell ref="AA167:AA182"/>
    <mergeCell ref="AB167:AB182"/>
    <mergeCell ref="AC167:AC182"/>
    <mergeCell ref="N167:N182"/>
    <mergeCell ref="O167:O170"/>
    <mergeCell ref="P167:P182"/>
    <mergeCell ref="Q167:Q182"/>
    <mergeCell ref="R167:R182"/>
    <mergeCell ref="W167:W182"/>
    <mergeCell ref="O176:O182"/>
    <mergeCell ref="G167:G170"/>
    <mergeCell ref="H167:H170"/>
    <mergeCell ref="I167:I170"/>
    <mergeCell ref="J167:J170"/>
    <mergeCell ref="K167:K170"/>
    <mergeCell ref="M167:M182"/>
    <mergeCell ref="J176:J182"/>
    <mergeCell ref="K176:K182"/>
    <mergeCell ref="AO144:AO166"/>
    <mergeCell ref="AP144:AP166"/>
    <mergeCell ref="G157:G166"/>
    <mergeCell ref="H157:H166"/>
    <mergeCell ref="I157:I166"/>
    <mergeCell ref="J157:J166"/>
    <mergeCell ref="K157:K166"/>
    <mergeCell ref="O157:O166"/>
    <mergeCell ref="AI144:AI166"/>
    <mergeCell ref="AJ144:AJ166"/>
    <mergeCell ref="AK144:AK166"/>
    <mergeCell ref="AL144:AL166"/>
    <mergeCell ref="AM144:AM166"/>
    <mergeCell ref="AN144:AN166"/>
    <mergeCell ref="AC144:AC166"/>
    <mergeCell ref="AD144:AD166"/>
    <mergeCell ref="AE144:AE166"/>
    <mergeCell ref="AF144:AF166"/>
    <mergeCell ref="AG144:AG166"/>
    <mergeCell ref="AH144:AH166"/>
    <mergeCell ref="W144:W166"/>
    <mergeCell ref="X144:X166"/>
    <mergeCell ref="Y144:Y166"/>
    <mergeCell ref="Z144:Z166"/>
    <mergeCell ref="AA144:AA166"/>
    <mergeCell ref="AB144:AB166"/>
    <mergeCell ref="M144:M166"/>
    <mergeCell ref="N144:N166"/>
    <mergeCell ref="O144:O156"/>
    <mergeCell ref="P144:P166"/>
    <mergeCell ref="Q144:Q166"/>
    <mergeCell ref="R144:R166"/>
    <mergeCell ref="G144:G156"/>
    <mergeCell ref="H144:H156"/>
    <mergeCell ref="I144:I156"/>
    <mergeCell ref="J144:J156"/>
    <mergeCell ref="K144:K156"/>
    <mergeCell ref="L144:L166"/>
    <mergeCell ref="G142:G143"/>
    <mergeCell ref="H142:H143"/>
    <mergeCell ref="I142:I143"/>
    <mergeCell ref="J142:J143"/>
    <mergeCell ref="K142:K143"/>
    <mergeCell ref="O142:O143"/>
    <mergeCell ref="G139:G141"/>
    <mergeCell ref="H139:H141"/>
    <mergeCell ref="I139:I141"/>
    <mergeCell ref="J139:J141"/>
    <mergeCell ref="K139:K141"/>
    <mergeCell ref="O139:O141"/>
    <mergeCell ref="I131:I135"/>
    <mergeCell ref="J131:J135"/>
    <mergeCell ref="K131:K135"/>
    <mergeCell ref="O131:O135"/>
    <mergeCell ref="G136:G138"/>
    <mergeCell ref="H136:H138"/>
    <mergeCell ref="I136:I138"/>
    <mergeCell ref="J136:J138"/>
    <mergeCell ref="K136:K138"/>
    <mergeCell ref="O136:O138"/>
    <mergeCell ref="AP126:AP143"/>
    <mergeCell ref="G127:G128"/>
    <mergeCell ref="H127:H128"/>
    <mergeCell ref="I127:I128"/>
    <mergeCell ref="J127:J128"/>
    <mergeCell ref="K127:K128"/>
    <mergeCell ref="O127:O128"/>
    <mergeCell ref="G129:G130"/>
    <mergeCell ref="H129:H130"/>
    <mergeCell ref="I129:I130"/>
    <mergeCell ref="AJ126:AJ143"/>
    <mergeCell ref="AK126:AK143"/>
    <mergeCell ref="AL126:AL143"/>
    <mergeCell ref="AM126:AM143"/>
    <mergeCell ref="AN126:AN143"/>
    <mergeCell ref="AO126:AO143"/>
    <mergeCell ref="AD126:AD143"/>
    <mergeCell ref="AE126:AE143"/>
    <mergeCell ref="AF126:AF143"/>
    <mergeCell ref="AG126:AG143"/>
    <mergeCell ref="AH126:AH143"/>
    <mergeCell ref="AI126:AI143"/>
    <mergeCell ref="X126:X143"/>
    <mergeCell ref="Y126:Y143"/>
    <mergeCell ref="Z126:Z143"/>
    <mergeCell ref="AA126:AA143"/>
    <mergeCell ref="AB126:AB143"/>
    <mergeCell ref="AC126:AC143"/>
    <mergeCell ref="M126:M143"/>
    <mergeCell ref="N126:N143"/>
    <mergeCell ref="P126:P143"/>
    <mergeCell ref="Q126:Q143"/>
    <mergeCell ref="R126:R143"/>
    <mergeCell ref="W126:W143"/>
    <mergeCell ref="O129:O130"/>
    <mergeCell ref="AO114:AO125"/>
    <mergeCell ref="AP114:AP125"/>
    <mergeCell ref="G121:G125"/>
    <mergeCell ref="H121:H125"/>
    <mergeCell ref="I121:I125"/>
    <mergeCell ref="J121:J125"/>
    <mergeCell ref="K121:K125"/>
    <mergeCell ref="O121:O125"/>
    <mergeCell ref="AI114:AI125"/>
    <mergeCell ref="AJ114:AJ125"/>
    <mergeCell ref="AK114:AK125"/>
    <mergeCell ref="AL114:AL125"/>
    <mergeCell ref="AM114:AM125"/>
    <mergeCell ref="AN114:AN125"/>
    <mergeCell ref="AC114:AC125"/>
    <mergeCell ref="AD114:AD125"/>
    <mergeCell ref="AE114:AE125"/>
    <mergeCell ref="AF114:AF125"/>
    <mergeCell ref="AG114:AG125"/>
    <mergeCell ref="AH114:AH125"/>
    <mergeCell ref="W114:W125"/>
    <mergeCell ref="X114:X125"/>
    <mergeCell ref="Y114:Y125"/>
    <mergeCell ref="Z114:Z125"/>
    <mergeCell ref="AA114:AA125"/>
    <mergeCell ref="AB114:AB125"/>
    <mergeCell ref="M114:M125"/>
    <mergeCell ref="N114:N125"/>
    <mergeCell ref="O114:O120"/>
    <mergeCell ref="P114:P125"/>
    <mergeCell ref="Q114:Q125"/>
    <mergeCell ref="R114:R125"/>
    <mergeCell ref="D114:F296"/>
    <mergeCell ref="G114:G120"/>
    <mergeCell ref="H114:H120"/>
    <mergeCell ref="I114:I120"/>
    <mergeCell ref="J114:J120"/>
    <mergeCell ref="K114:K120"/>
    <mergeCell ref="J129:J130"/>
    <mergeCell ref="K129:K130"/>
    <mergeCell ref="G131:G135"/>
    <mergeCell ref="H131:H135"/>
    <mergeCell ref="AP108:AP112"/>
    <mergeCell ref="G111:G112"/>
    <mergeCell ref="H111:H112"/>
    <mergeCell ref="I111:I112"/>
    <mergeCell ref="J111:J112"/>
    <mergeCell ref="K111:K112"/>
    <mergeCell ref="O111:O112"/>
    <mergeCell ref="AJ108:AJ112"/>
    <mergeCell ref="AK108:AK112"/>
    <mergeCell ref="AL108:AL112"/>
    <mergeCell ref="AM108:AM112"/>
    <mergeCell ref="AN108:AN112"/>
    <mergeCell ref="AO108:AO112"/>
    <mergeCell ref="AD108:AD112"/>
    <mergeCell ref="AE108:AE112"/>
    <mergeCell ref="AF108:AF112"/>
    <mergeCell ref="AG108:AG112"/>
    <mergeCell ref="AH108:AH112"/>
    <mergeCell ref="AI108:AI112"/>
    <mergeCell ref="X108:X112"/>
    <mergeCell ref="Y108:Y112"/>
    <mergeCell ref="Z108:Z112"/>
    <mergeCell ref="AA108:AA112"/>
    <mergeCell ref="AB108:AB112"/>
    <mergeCell ref="AC108:AC112"/>
    <mergeCell ref="M108:M112"/>
    <mergeCell ref="N108:N112"/>
    <mergeCell ref="P108:P112"/>
    <mergeCell ref="Q108:Q112"/>
    <mergeCell ref="R108:R112"/>
    <mergeCell ref="W108:W112"/>
    <mergeCell ref="G105:G107"/>
    <mergeCell ref="H105:H107"/>
    <mergeCell ref="I105:I107"/>
    <mergeCell ref="J105:J107"/>
    <mergeCell ref="K105:K107"/>
    <mergeCell ref="O105:O107"/>
    <mergeCell ref="AN95:AN107"/>
    <mergeCell ref="AO95:AO107"/>
    <mergeCell ref="AP95:AP107"/>
    <mergeCell ref="G98:G104"/>
    <mergeCell ref="H98:H104"/>
    <mergeCell ref="I98:I104"/>
    <mergeCell ref="J98:J104"/>
    <mergeCell ref="K98:K104"/>
    <mergeCell ref="O98:O104"/>
    <mergeCell ref="S98:S99"/>
    <mergeCell ref="AH95:AH107"/>
    <mergeCell ref="AI95:AI107"/>
    <mergeCell ref="AJ95:AJ107"/>
    <mergeCell ref="AK95:AK107"/>
    <mergeCell ref="AL95:AL107"/>
    <mergeCell ref="AM95:AM107"/>
    <mergeCell ref="AB95:AB107"/>
    <mergeCell ref="AC95:AC107"/>
    <mergeCell ref="AD95:AD107"/>
    <mergeCell ref="AE95:AE107"/>
    <mergeCell ref="AF95:AF107"/>
    <mergeCell ref="AG95:AG107"/>
    <mergeCell ref="S95:S96"/>
    <mergeCell ref="W95:W107"/>
    <mergeCell ref="X95:X107"/>
    <mergeCell ref="Y95:Y107"/>
    <mergeCell ref="Z95:Z107"/>
    <mergeCell ref="AA95:AA107"/>
    <mergeCell ref="S100:S101"/>
    <mergeCell ref="S102:S103"/>
    <mergeCell ref="S106:S107"/>
    <mergeCell ref="M95:M107"/>
    <mergeCell ref="N95:N107"/>
    <mergeCell ref="O95:O96"/>
    <mergeCell ref="P95:P107"/>
    <mergeCell ref="Q95:Q107"/>
    <mergeCell ref="R95:R107"/>
    <mergeCell ref="AN89:AN94"/>
    <mergeCell ref="AO89:AO94"/>
    <mergeCell ref="AP89:AP94"/>
    <mergeCell ref="S91:S92"/>
    <mergeCell ref="S93:S94"/>
    <mergeCell ref="G95:G96"/>
    <mergeCell ref="H95:H96"/>
    <mergeCell ref="I95:I96"/>
    <mergeCell ref="J95:J96"/>
    <mergeCell ref="K95:K96"/>
    <mergeCell ref="AH89:AH94"/>
    <mergeCell ref="AI89:AI94"/>
    <mergeCell ref="AJ89:AJ94"/>
    <mergeCell ref="AK89:AK94"/>
    <mergeCell ref="AL89:AL94"/>
    <mergeCell ref="AM89:AM94"/>
    <mergeCell ref="AB89:AB94"/>
    <mergeCell ref="AC89:AC94"/>
    <mergeCell ref="AD89:AD94"/>
    <mergeCell ref="AE89:AE94"/>
    <mergeCell ref="AF89:AF94"/>
    <mergeCell ref="AG89:AG94"/>
    <mergeCell ref="S89:S90"/>
    <mergeCell ref="W89:W94"/>
    <mergeCell ref="X89:X94"/>
    <mergeCell ref="Y89:Y94"/>
    <mergeCell ref="Z89:Z94"/>
    <mergeCell ref="AA89:AA94"/>
    <mergeCell ref="M89:M94"/>
    <mergeCell ref="N89:N94"/>
    <mergeCell ref="O89:O94"/>
    <mergeCell ref="P89:P94"/>
    <mergeCell ref="Q89:Q94"/>
    <mergeCell ref="R89:R94"/>
    <mergeCell ref="AL77:AL88"/>
    <mergeCell ref="AM77:AM88"/>
    <mergeCell ref="AN77:AN88"/>
    <mergeCell ref="AO77:AO88"/>
    <mergeCell ref="AP77:AP88"/>
    <mergeCell ref="G89:G94"/>
    <mergeCell ref="H89:H94"/>
    <mergeCell ref="I89:I94"/>
    <mergeCell ref="J89:J94"/>
    <mergeCell ref="K89:K94"/>
    <mergeCell ref="AF77:AF88"/>
    <mergeCell ref="AG77:AG88"/>
    <mergeCell ref="AH77:AH88"/>
    <mergeCell ref="AI77:AI88"/>
    <mergeCell ref="AJ77:AJ88"/>
    <mergeCell ref="AK77:AK88"/>
    <mergeCell ref="Z77:Z88"/>
    <mergeCell ref="AA77:AA88"/>
    <mergeCell ref="AB77:AB88"/>
    <mergeCell ref="AC77:AC88"/>
    <mergeCell ref="AD77:AD88"/>
    <mergeCell ref="AE77:AE88"/>
    <mergeCell ref="P77:P88"/>
    <mergeCell ref="Q77:Q88"/>
    <mergeCell ref="R77:R88"/>
    <mergeCell ref="W77:W88"/>
    <mergeCell ref="X77:X88"/>
    <mergeCell ref="Y77:Y88"/>
    <mergeCell ref="K75:K76"/>
    <mergeCell ref="O75:O76"/>
    <mergeCell ref="G77:G88"/>
    <mergeCell ref="H77:H88"/>
    <mergeCell ref="I77:I88"/>
    <mergeCell ref="J77:J88"/>
    <mergeCell ref="K77:K88"/>
    <mergeCell ref="M77:M88"/>
    <mergeCell ref="N77:N88"/>
    <mergeCell ref="O77:O88"/>
    <mergeCell ref="AP63:AP76"/>
    <mergeCell ref="S64:S65"/>
    <mergeCell ref="S67:S68"/>
    <mergeCell ref="G71:G74"/>
    <mergeCell ref="H71:H74"/>
    <mergeCell ref="I71:I74"/>
    <mergeCell ref="J71:J74"/>
    <mergeCell ref="K71:K74"/>
    <mergeCell ref="O71:O74"/>
    <mergeCell ref="S71:S72"/>
    <mergeCell ref="AJ63:AJ76"/>
    <mergeCell ref="AK63:AK76"/>
    <mergeCell ref="AL63:AL76"/>
    <mergeCell ref="AM63:AM76"/>
    <mergeCell ref="AN63:AN76"/>
    <mergeCell ref="AO63:AO76"/>
    <mergeCell ref="AD63:AD76"/>
    <mergeCell ref="AE63:AE76"/>
    <mergeCell ref="AF63:AF76"/>
    <mergeCell ref="AG63:AG76"/>
    <mergeCell ref="AH63:AH76"/>
    <mergeCell ref="AI63:AI76"/>
    <mergeCell ref="X63:X76"/>
    <mergeCell ref="Y63:Y76"/>
    <mergeCell ref="Z63:Z76"/>
    <mergeCell ref="AA63:AA76"/>
    <mergeCell ref="AB63:AB76"/>
    <mergeCell ref="AC63:AC76"/>
    <mergeCell ref="N63:N76"/>
    <mergeCell ref="O63:O70"/>
    <mergeCell ref="P63:P76"/>
    <mergeCell ref="Q63:Q76"/>
    <mergeCell ref="R63:R76"/>
    <mergeCell ref="W63:W76"/>
    <mergeCell ref="G63:G70"/>
    <mergeCell ref="H63:H70"/>
    <mergeCell ref="I63:I70"/>
    <mergeCell ref="J63:J70"/>
    <mergeCell ref="K63:K70"/>
    <mergeCell ref="M63:M76"/>
    <mergeCell ref="G75:G76"/>
    <mergeCell ref="H75:H76"/>
    <mergeCell ref="I75:I76"/>
    <mergeCell ref="J75:J76"/>
    <mergeCell ref="AP42:AP62"/>
    <mergeCell ref="G49:G62"/>
    <mergeCell ref="H49:H62"/>
    <mergeCell ref="I49:I62"/>
    <mergeCell ref="J49:J62"/>
    <mergeCell ref="K49:K62"/>
    <mergeCell ref="O49:O62"/>
    <mergeCell ref="AJ42:AJ62"/>
    <mergeCell ref="AK42:AK62"/>
    <mergeCell ref="AL42:AL62"/>
    <mergeCell ref="AM42:AM62"/>
    <mergeCell ref="AN42:AN62"/>
    <mergeCell ref="AO42:AO62"/>
    <mergeCell ref="AD42:AD62"/>
    <mergeCell ref="AE42:AE62"/>
    <mergeCell ref="AF42:AF62"/>
    <mergeCell ref="AG42:AG62"/>
    <mergeCell ref="AH42:AH62"/>
    <mergeCell ref="AI42:AI62"/>
    <mergeCell ref="X42:X62"/>
    <mergeCell ref="Y42:Y62"/>
    <mergeCell ref="Z42:Z62"/>
    <mergeCell ref="AA42:AA62"/>
    <mergeCell ref="AB42:AB62"/>
    <mergeCell ref="AC42:AC62"/>
    <mergeCell ref="N42:N62"/>
    <mergeCell ref="O42:O48"/>
    <mergeCell ref="P42:P62"/>
    <mergeCell ref="Q42:Q62"/>
    <mergeCell ref="R42:R62"/>
    <mergeCell ref="W42:W62"/>
    <mergeCell ref="G42:G48"/>
    <mergeCell ref="H42:H48"/>
    <mergeCell ref="I42:I48"/>
    <mergeCell ref="J42:J48"/>
    <mergeCell ref="K42:K48"/>
    <mergeCell ref="M42:M62"/>
    <mergeCell ref="G39:G41"/>
    <mergeCell ref="H39:H41"/>
    <mergeCell ref="I39:I41"/>
    <mergeCell ref="J39:J41"/>
    <mergeCell ref="K39:K41"/>
    <mergeCell ref="O39:O41"/>
    <mergeCell ref="G35:G38"/>
    <mergeCell ref="H35:H38"/>
    <mergeCell ref="I35:I38"/>
    <mergeCell ref="J35:J38"/>
    <mergeCell ref="K35:K38"/>
    <mergeCell ref="O35:O38"/>
    <mergeCell ref="J23:J26"/>
    <mergeCell ref="K23:K26"/>
    <mergeCell ref="O23:O26"/>
    <mergeCell ref="G27:G33"/>
    <mergeCell ref="H27:H33"/>
    <mergeCell ref="I27:I33"/>
    <mergeCell ref="J27:J33"/>
    <mergeCell ref="K27:K33"/>
    <mergeCell ref="O27:O33"/>
    <mergeCell ref="AP17:AP41"/>
    <mergeCell ref="G20:G22"/>
    <mergeCell ref="H20:H22"/>
    <mergeCell ref="I20:I22"/>
    <mergeCell ref="J20:J22"/>
    <mergeCell ref="K20:K22"/>
    <mergeCell ref="O20:O22"/>
    <mergeCell ref="G23:G26"/>
    <mergeCell ref="H23:H26"/>
    <mergeCell ref="I23:I26"/>
    <mergeCell ref="AJ17:AJ41"/>
    <mergeCell ref="AK17:AK41"/>
    <mergeCell ref="AL17:AL41"/>
    <mergeCell ref="AM17:AM41"/>
    <mergeCell ref="AN17:AN41"/>
    <mergeCell ref="AO17:AO41"/>
    <mergeCell ref="AD17:AD41"/>
    <mergeCell ref="AE17:AE41"/>
    <mergeCell ref="AF17:AF41"/>
    <mergeCell ref="AG17:AG41"/>
    <mergeCell ref="AH17:AH41"/>
    <mergeCell ref="AI17:AI41"/>
    <mergeCell ref="X17:X41"/>
    <mergeCell ref="Y17:Y41"/>
    <mergeCell ref="Z17:Z41"/>
    <mergeCell ref="AA17:AA41"/>
    <mergeCell ref="AB17:AB41"/>
    <mergeCell ref="AC17:AC41"/>
    <mergeCell ref="N17:N41"/>
    <mergeCell ref="O17:O19"/>
    <mergeCell ref="P17:P41"/>
    <mergeCell ref="Q17:Q41"/>
    <mergeCell ref="R17:R41"/>
    <mergeCell ref="W17:W41"/>
    <mergeCell ref="S31:S32"/>
    <mergeCell ref="AM12:AM16"/>
    <mergeCell ref="AN12:AN16"/>
    <mergeCell ref="AO12:AO16"/>
    <mergeCell ref="AP12:AP16"/>
    <mergeCell ref="G17:G19"/>
    <mergeCell ref="H17:H19"/>
    <mergeCell ref="I17:I19"/>
    <mergeCell ref="J17:J19"/>
    <mergeCell ref="K17:K19"/>
    <mergeCell ref="M17:M41"/>
    <mergeCell ref="AG12:AG16"/>
    <mergeCell ref="AH12:AH16"/>
    <mergeCell ref="AI12:AI16"/>
    <mergeCell ref="AJ12:AJ16"/>
    <mergeCell ref="AK12:AK16"/>
    <mergeCell ref="AL12:AL16"/>
    <mergeCell ref="AA12:AA16"/>
    <mergeCell ref="AB12:AB16"/>
    <mergeCell ref="AC12:AC16"/>
    <mergeCell ref="AD12:AD16"/>
    <mergeCell ref="AE12:AE16"/>
    <mergeCell ref="AF12:AF16"/>
    <mergeCell ref="Q12:Q16"/>
    <mergeCell ref="R12:R16"/>
    <mergeCell ref="W12:W16"/>
    <mergeCell ref="X12:X16"/>
    <mergeCell ref="Y12:Y16"/>
    <mergeCell ref="Z12:Z16"/>
    <mergeCell ref="K12:K16"/>
    <mergeCell ref="L12:L16"/>
    <mergeCell ref="M12:M16"/>
    <mergeCell ref="N12:N16"/>
    <mergeCell ref="O12:O16"/>
    <mergeCell ref="P12:P16"/>
    <mergeCell ref="AN7:AN8"/>
    <mergeCell ref="AO7:AO8"/>
    <mergeCell ref="AP7:AP9"/>
    <mergeCell ref="AA8:AB8"/>
    <mergeCell ref="A11:C329"/>
    <mergeCell ref="D12:F112"/>
    <mergeCell ref="G12:G16"/>
    <mergeCell ref="H12:H16"/>
    <mergeCell ref="I12:I16"/>
    <mergeCell ref="J12:J16"/>
    <mergeCell ref="V7:V9"/>
    <mergeCell ref="W7:X7"/>
    <mergeCell ref="Y7:AC7"/>
    <mergeCell ref="AD7:AI7"/>
    <mergeCell ref="AJ7:AL7"/>
    <mergeCell ref="AM7:AM8"/>
    <mergeCell ref="P7:P9"/>
    <mergeCell ref="Q7:Q9"/>
    <mergeCell ref="R7:R9"/>
    <mergeCell ref="S7:S9"/>
    <mergeCell ref="T7:T9"/>
    <mergeCell ref="U7:U9"/>
    <mergeCell ref="J7:J9"/>
    <mergeCell ref="K7:K9"/>
    <mergeCell ref="L7:L9"/>
    <mergeCell ref="M7:M9"/>
    <mergeCell ref="N7:N9"/>
    <mergeCell ref="O7:O9"/>
    <mergeCell ref="A1:AN4"/>
    <mergeCell ref="A5:L6"/>
    <mergeCell ref="M5:AP6"/>
    <mergeCell ref="A7:A9"/>
    <mergeCell ref="B7:C9"/>
    <mergeCell ref="D7:D9"/>
    <mergeCell ref="E7:F9"/>
    <mergeCell ref="G7:G9"/>
    <mergeCell ref="H7:H9"/>
    <mergeCell ref="I7:I9"/>
  </mergeCells>
  <conditionalFormatting sqref="S105">
    <cfRule type="duplicateValues" dxfId="0" priority="1"/>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44"/>
  <sheetViews>
    <sheetView showGridLines="0" zoomScale="60" zoomScaleNormal="60" workbookViewId="0">
      <selection activeCell="E11" sqref="E11"/>
    </sheetView>
  </sheetViews>
  <sheetFormatPr baseColWidth="10" defaultRowHeight="15" x14ac:dyDescent="0.25"/>
  <cols>
    <col min="1" max="1" width="14" customWidth="1"/>
    <col min="4" max="4" width="13.28515625" customWidth="1"/>
    <col min="7" max="7" width="14.7109375" customWidth="1"/>
    <col min="8" max="8" width="16" customWidth="1"/>
    <col min="9" max="9" width="31.85546875" style="343" customWidth="1"/>
    <col min="10" max="10" width="34.5703125" style="343" customWidth="1"/>
    <col min="11" max="11" width="25.85546875" customWidth="1"/>
    <col min="12" max="12" width="34.85546875" customWidth="1"/>
    <col min="13" max="13" width="23.85546875" customWidth="1"/>
    <col min="14" max="14" width="42.42578125" customWidth="1"/>
    <col min="15" max="15" width="19" customWidth="1"/>
    <col min="16" max="16" width="26.42578125" customWidth="1"/>
    <col min="17" max="17" width="37" customWidth="1"/>
    <col min="18" max="18" width="47.85546875" customWidth="1"/>
    <col min="19" max="19" width="42.140625" customWidth="1"/>
    <col min="20" max="20" width="33.28515625" customWidth="1"/>
    <col min="21" max="21" width="21.28515625" style="345" customWidth="1"/>
    <col min="22" max="22" width="25.28515625" customWidth="1"/>
    <col min="23" max="23" width="10.85546875" style="346" customWidth="1"/>
    <col min="24" max="24" width="11.28515625" style="346" customWidth="1"/>
    <col min="25" max="25" width="11" style="346" customWidth="1"/>
    <col min="26" max="26" width="9.140625" style="346" customWidth="1"/>
    <col min="27" max="27" width="10.28515625" style="346" customWidth="1"/>
    <col min="28" max="28" width="11.28515625" style="346" customWidth="1"/>
    <col min="29" max="37" width="9.140625" style="346" customWidth="1"/>
    <col min="38" max="38" width="11.5703125" style="346" customWidth="1"/>
    <col min="39" max="39" width="17.85546875" customWidth="1"/>
    <col min="40" max="40" width="16.140625" customWidth="1"/>
    <col min="41" max="41" width="36.7109375" customWidth="1"/>
  </cols>
  <sheetData>
    <row r="1" spans="1:74" ht="18" customHeight="1" x14ac:dyDescent="0.25">
      <c r="A1" s="2797" t="s">
        <v>209</v>
      </c>
      <c r="B1" s="2797"/>
      <c r="C1" s="2797"/>
      <c r="D1" s="2797"/>
      <c r="E1" s="2797"/>
      <c r="F1" s="2797"/>
      <c r="G1" s="2797"/>
      <c r="H1" s="2797"/>
      <c r="I1" s="2797"/>
      <c r="J1" s="2797"/>
      <c r="K1" s="2797"/>
      <c r="L1" s="2797"/>
      <c r="M1" s="2797"/>
      <c r="N1" s="2797"/>
      <c r="O1" s="2797"/>
      <c r="P1" s="2797"/>
      <c r="Q1" s="2797"/>
      <c r="R1" s="2797"/>
      <c r="S1" s="2797"/>
      <c r="T1" s="2797"/>
      <c r="U1" s="2797"/>
      <c r="V1" s="2797"/>
      <c r="W1" s="2797"/>
      <c r="X1" s="2797"/>
      <c r="Y1" s="2797"/>
      <c r="Z1" s="2797"/>
      <c r="AA1" s="2797"/>
      <c r="AB1" s="2797"/>
      <c r="AC1" s="2797"/>
      <c r="AD1" s="2797"/>
      <c r="AE1" s="2797"/>
      <c r="AF1" s="2797"/>
      <c r="AG1" s="2797"/>
      <c r="AH1" s="2797"/>
      <c r="AI1" s="2797"/>
      <c r="AJ1" s="2797"/>
      <c r="AK1" s="2797"/>
      <c r="AL1" s="2797"/>
      <c r="AM1" s="2798"/>
      <c r="AN1" s="178" t="s">
        <v>1</v>
      </c>
      <c r="AO1" s="179" t="s">
        <v>210</v>
      </c>
      <c r="AQ1" s="180"/>
      <c r="AR1" s="180"/>
      <c r="AS1" s="180"/>
      <c r="AT1" s="180"/>
      <c r="AU1" s="180"/>
      <c r="AV1" s="180"/>
      <c r="AW1" s="180"/>
      <c r="AX1" s="180"/>
      <c r="AY1" s="180"/>
      <c r="AZ1" s="180"/>
      <c r="BA1" s="180"/>
      <c r="BB1" s="180"/>
      <c r="BC1" s="180"/>
      <c r="BD1" s="180"/>
      <c r="BE1" s="180"/>
      <c r="BF1" s="180"/>
      <c r="BG1" s="180"/>
      <c r="BH1" s="180"/>
    </row>
    <row r="2" spans="1:74" ht="18" customHeight="1" x14ac:dyDescent="0.25">
      <c r="A2" s="2797"/>
      <c r="B2" s="2797"/>
      <c r="C2" s="2797"/>
      <c r="D2" s="2797"/>
      <c r="E2" s="2797"/>
      <c r="F2" s="2797"/>
      <c r="G2" s="2797"/>
      <c r="H2" s="2797"/>
      <c r="I2" s="2797"/>
      <c r="J2" s="2797"/>
      <c r="K2" s="2797"/>
      <c r="L2" s="2797"/>
      <c r="M2" s="2797"/>
      <c r="N2" s="2797"/>
      <c r="O2" s="2797"/>
      <c r="P2" s="2797"/>
      <c r="Q2" s="2797"/>
      <c r="R2" s="2797"/>
      <c r="S2" s="2797"/>
      <c r="T2" s="2797"/>
      <c r="U2" s="2797"/>
      <c r="V2" s="2797"/>
      <c r="W2" s="2797"/>
      <c r="X2" s="2797"/>
      <c r="Y2" s="2797"/>
      <c r="Z2" s="2797"/>
      <c r="AA2" s="2797"/>
      <c r="AB2" s="2797"/>
      <c r="AC2" s="2797"/>
      <c r="AD2" s="2797"/>
      <c r="AE2" s="2797"/>
      <c r="AF2" s="2797"/>
      <c r="AG2" s="2797"/>
      <c r="AH2" s="2797"/>
      <c r="AI2" s="2797"/>
      <c r="AJ2" s="2797"/>
      <c r="AK2" s="2797"/>
      <c r="AL2" s="2797"/>
      <c r="AM2" s="2798"/>
      <c r="AN2" s="181" t="s">
        <v>3</v>
      </c>
      <c r="AO2" s="179" t="s">
        <v>4</v>
      </c>
      <c r="AQ2" s="180"/>
      <c r="AR2" s="180"/>
      <c r="AS2" s="180"/>
      <c r="AT2" s="180"/>
      <c r="AU2" s="180"/>
      <c r="AV2" s="180"/>
      <c r="AW2" s="180"/>
      <c r="AX2" s="180"/>
      <c r="AY2" s="180"/>
      <c r="AZ2" s="180"/>
      <c r="BA2" s="180"/>
      <c r="BB2" s="180"/>
      <c r="BC2" s="180"/>
      <c r="BD2" s="180"/>
      <c r="BE2" s="180"/>
      <c r="BF2" s="180"/>
      <c r="BG2" s="180"/>
      <c r="BH2" s="180"/>
    </row>
    <row r="3" spans="1:74" ht="18" customHeight="1" x14ac:dyDescent="0.25">
      <c r="A3" s="2797"/>
      <c r="B3" s="2797"/>
      <c r="C3" s="2797"/>
      <c r="D3" s="2797"/>
      <c r="E3" s="2797"/>
      <c r="F3" s="2797"/>
      <c r="G3" s="2797"/>
      <c r="H3" s="2797"/>
      <c r="I3" s="2797"/>
      <c r="J3" s="2797"/>
      <c r="K3" s="2797"/>
      <c r="L3" s="2797"/>
      <c r="M3" s="2797"/>
      <c r="N3" s="2797"/>
      <c r="O3" s="2797"/>
      <c r="P3" s="2797"/>
      <c r="Q3" s="2797"/>
      <c r="R3" s="2797"/>
      <c r="S3" s="2797"/>
      <c r="T3" s="2797"/>
      <c r="U3" s="2797"/>
      <c r="V3" s="2797"/>
      <c r="W3" s="2797"/>
      <c r="X3" s="2797"/>
      <c r="Y3" s="2797"/>
      <c r="Z3" s="2797"/>
      <c r="AA3" s="2797"/>
      <c r="AB3" s="2797"/>
      <c r="AC3" s="2797"/>
      <c r="AD3" s="2797"/>
      <c r="AE3" s="2797"/>
      <c r="AF3" s="2797"/>
      <c r="AG3" s="2797"/>
      <c r="AH3" s="2797"/>
      <c r="AI3" s="2797"/>
      <c r="AJ3" s="2797"/>
      <c r="AK3" s="2797"/>
      <c r="AL3" s="2797"/>
      <c r="AM3" s="2798"/>
      <c r="AN3" s="178" t="s">
        <v>5</v>
      </c>
      <c r="AO3" s="182" t="s">
        <v>6</v>
      </c>
      <c r="AQ3" s="180"/>
      <c r="AR3" s="180"/>
      <c r="AS3" s="180"/>
      <c r="AT3" s="180"/>
      <c r="AU3" s="180"/>
      <c r="AV3" s="180"/>
      <c r="AW3" s="180"/>
      <c r="AX3" s="180"/>
      <c r="AY3" s="180"/>
      <c r="AZ3" s="180"/>
      <c r="BA3" s="180"/>
      <c r="BB3" s="180"/>
      <c r="BC3" s="180"/>
      <c r="BD3" s="180"/>
      <c r="BE3" s="180"/>
      <c r="BF3" s="180"/>
      <c r="BG3" s="180"/>
      <c r="BH3" s="180"/>
    </row>
    <row r="4" spans="1:74" ht="18" customHeight="1" x14ac:dyDescent="0.25">
      <c r="A4" s="2799"/>
      <c r="B4" s="2799"/>
      <c r="C4" s="2799"/>
      <c r="D4" s="2799"/>
      <c r="E4" s="2799"/>
      <c r="F4" s="2799"/>
      <c r="G4" s="2799"/>
      <c r="H4" s="2799"/>
      <c r="I4" s="2799"/>
      <c r="J4" s="2799"/>
      <c r="K4" s="2799"/>
      <c r="L4" s="2799"/>
      <c r="M4" s="2799"/>
      <c r="N4" s="2799"/>
      <c r="O4" s="2799"/>
      <c r="P4" s="2799"/>
      <c r="Q4" s="2799"/>
      <c r="R4" s="2799"/>
      <c r="S4" s="2799"/>
      <c r="T4" s="2799"/>
      <c r="U4" s="2799"/>
      <c r="V4" s="2799"/>
      <c r="W4" s="2799"/>
      <c r="X4" s="2799"/>
      <c r="Y4" s="2799"/>
      <c r="Z4" s="2799"/>
      <c r="AA4" s="2799"/>
      <c r="AB4" s="2799"/>
      <c r="AC4" s="2799"/>
      <c r="AD4" s="2799"/>
      <c r="AE4" s="2799"/>
      <c r="AF4" s="2799"/>
      <c r="AG4" s="2799"/>
      <c r="AH4" s="2799"/>
      <c r="AI4" s="2799"/>
      <c r="AJ4" s="2799"/>
      <c r="AK4" s="2799"/>
      <c r="AL4" s="2799"/>
      <c r="AM4" s="2800"/>
      <c r="AN4" s="178" t="s">
        <v>7</v>
      </c>
      <c r="AO4" s="183" t="s">
        <v>8</v>
      </c>
      <c r="AQ4" s="180"/>
      <c r="AR4" s="180"/>
      <c r="AS4" s="180"/>
      <c r="AT4" s="180"/>
      <c r="AU4" s="180"/>
      <c r="AV4" s="180"/>
      <c r="AW4" s="180"/>
      <c r="AX4" s="180"/>
      <c r="AY4" s="180"/>
      <c r="AZ4" s="180"/>
      <c r="BA4" s="180"/>
      <c r="BB4" s="180"/>
      <c r="BC4" s="180"/>
      <c r="BD4" s="180"/>
      <c r="BE4" s="180"/>
      <c r="BF4" s="180"/>
      <c r="BG4" s="180"/>
      <c r="BH4" s="180"/>
    </row>
    <row r="5" spans="1:74" ht="36" customHeight="1" x14ac:dyDescent="0.25">
      <c r="A5" s="2235" t="s">
        <v>9</v>
      </c>
      <c r="B5" s="2235"/>
      <c r="C5" s="2235"/>
      <c r="D5" s="2235"/>
      <c r="E5" s="2235"/>
      <c r="F5" s="2235"/>
      <c r="G5" s="2235"/>
      <c r="H5" s="2235"/>
      <c r="I5" s="2235"/>
      <c r="J5" s="2235"/>
      <c r="K5" s="2235"/>
      <c r="L5" s="2236" t="s">
        <v>10</v>
      </c>
      <c r="M5" s="2236"/>
      <c r="N5" s="2236"/>
      <c r="O5" s="2236"/>
      <c r="P5" s="2236"/>
      <c r="Q5" s="2236"/>
      <c r="R5" s="2236"/>
      <c r="S5" s="2236"/>
      <c r="T5" s="2236"/>
      <c r="U5" s="2236"/>
      <c r="V5" s="2236"/>
      <c r="W5" s="2236"/>
      <c r="X5" s="2236"/>
      <c r="Y5" s="2236"/>
      <c r="Z5" s="2236"/>
      <c r="AA5" s="2236"/>
      <c r="AB5" s="2236"/>
      <c r="AC5" s="2236"/>
      <c r="AD5" s="2236"/>
      <c r="AE5" s="2236"/>
      <c r="AF5" s="2236"/>
      <c r="AG5" s="2236"/>
      <c r="AH5" s="2236"/>
      <c r="AI5" s="2236"/>
      <c r="AJ5" s="2236"/>
      <c r="AK5" s="2236"/>
      <c r="AL5" s="2236"/>
      <c r="AM5" s="2236"/>
      <c r="AN5" s="2236"/>
      <c r="AO5" s="2236"/>
      <c r="AP5" s="3"/>
      <c r="AQ5" s="3"/>
      <c r="AR5" s="3"/>
      <c r="AU5" s="3"/>
      <c r="AV5" s="3"/>
      <c r="AW5" s="3"/>
      <c r="AX5" s="3"/>
      <c r="AY5" s="3"/>
      <c r="AZ5" s="3"/>
      <c r="BA5" s="3"/>
      <c r="BB5" s="3"/>
      <c r="BC5" s="3"/>
      <c r="BD5" s="3"/>
      <c r="BE5" s="3"/>
      <c r="BF5" s="3"/>
      <c r="BG5" s="3"/>
      <c r="BH5" s="3"/>
    </row>
    <row r="6" spans="1:74" ht="25.5" customHeight="1" x14ac:dyDescent="0.25">
      <c r="A6" s="2233"/>
      <c r="B6" s="2233"/>
      <c r="C6" s="2233"/>
      <c r="D6" s="2233"/>
      <c r="E6" s="2233"/>
      <c r="F6" s="2233"/>
      <c r="G6" s="2233"/>
      <c r="H6" s="2233"/>
      <c r="I6" s="2233"/>
      <c r="J6" s="2233"/>
      <c r="K6" s="2233"/>
      <c r="L6" s="184"/>
      <c r="M6" s="8"/>
      <c r="N6" s="8"/>
      <c r="O6" s="8"/>
      <c r="P6" s="8"/>
      <c r="Q6" s="8"/>
      <c r="R6" s="8"/>
      <c r="S6" s="8"/>
      <c r="T6" s="8"/>
      <c r="U6" s="9"/>
      <c r="V6" s="8"/>
      <c r="W6" s="2155" t="s">
        <v>11</v>
      </c>
      <c r="X6" s="2156"/>
      <c r="Y6" s="2156"/>
      <c r="Z6" s="2156"/>
      <c r="AA6" s="2156"/>
      <c r="AB6" s="2156"/>
      <c r="AC6" s="2156"/>
      <c r="AD6" s="2156"/>
      <c r="AE6" s="2156"/>
      <c r="AF6" s="2156"/>
      <c r="AG6" s="2156"/>
      <c r="AH6" s="2156"/>
      <c r="AI6" s="2156"/>
      <c r="AJ6" s="2156"/>
      <c r="AK6" s="2156"/>
      <c r="AL6" s="2156"/>
      <c r="AM6" s="8"/>
      <c r="AN6" s="8"/>
      <c r="AO6" s="12"/>
      <c r="AP6" s="3"/>
      <c r="AQ6" s="3"/>
      <c r="AR6" s="3"/>
      <c r="AU6" s="3"/>
      <c r="AV6" s="3"/>
      <c r="AW6" s="3"/>
      <c r="AX6" s="3"/>
      <c r="AY6" s="3"/>
      <c r="AZ6" s="3"/>
      <c r="BA6" s="3"/>
      <c r="BB6" s="3"/>
      <c r="BC6" s="3"/>
      <c r="BD6" s="3"/>
      <c r="BE6" s="3"/>
      <c r="BF6" s="3"/>
      <c r="BG6" s="3"/>
      <c r="BH6" s="3"/>
    </row>
    <row r="7" spans="1:74" s="4" customFormat="1" ht="49.5" customHeight="1" x14ac:dyDescent="0.2">
      <c r="A7" s="2169" t="s">
        <v>12</v>
      </c>
      <c r="B7" s="3339" t="s">
        <v>13</v>
      </c>
      <c r="C7" s="3339"/>
      <c r="D7" s="3339" t="s">
        <v>12</v>
      </c>
      <c r="E7" s="3339" t="s">
        <v>14</v>
      </c>
      <c r="F7" s="3339"/>
      <c r="G7" s="3339" t="s">
        <v>12</v>
      </c>
      <c r="H7" s="3339" t="s">
        <v>211</v>
      </c>
      <c r="I7" s="3339" t="s">
        <v>15</v>
      </c>
      <c r="J7" s="3339" t="s">
        <v>16</v>
      </c>
      <c r="K7" s="2160" t="s">
        <v>17</v>
      </c>
      <c r="L7" s="3339" t="s">
        <v>18</v>
      </c>
      <c r="M7" s="3339" t="s">
        <v>19</v>
      </c>
      <c r="N7" s="3339" t="s">
        <v>10</v>
      </c>
      <c r="O7" s="3645" t="s">
        <v>20</v>
      </c>
      <c r="P7" s="3646" t="s">
        <v>21</v>
      </c>
      <c r="Q7" s="3339" t="s">
        <v>22</v>
      </c>
      <c r="R7" s="3339" t="s">
        <v>23</v>
      </c>
      <c r="S7" s="3339" t="s">
        <v>24</v>
      </c>
      <c r="T7" s="185" t="s">
        <v>21</v>
      </c>
      <c r="U7" s="3650" t="s">
        <v>12</v>
      </c>
      <c r="V7" s="3339" t="s">
        <v>25</v>
      </c>
      <c r="W7" s="2185" t="s">
        <v>26</v>
      </c>
      <c r="X7" s="2186"/>
      <c r="Y7" s="2187" t="s">
        <v>27</v>
      </c>
      <c r="Z7" s="2188"/>
      <c r="AA7" s="2188"/>
      <c r="AB7" s="2188"/>
      <c r="AC7" s="2242" t="s">
        <v>28</v>
      </c>
      <c r="AD7" s="2243"/>
      <c r="AE7" s="2243"/>
      <c r="AF7" s="2243"/>
      <c r="AG7" s="2243"/>
      <c r="AH7" s="2243"/>
      <c r="AI7" s="2187" t="s">
        <v>29</v>
      </c>
      <c r="AJ7" s="2188"/>
      <c r="AK7" s="2188"/>
      <c r="AL7" s="3648" t="s">
        <v>30</v>
      </c>
      <c r="AM7" s="2173" t="s">
        <v>31</v>
      </c>
      <c r="AN7" s="2173" t="s">
        <v>32</v>
      </c>
      <c r="AO7" s="2175" t="s">
        <v>33</v>
      </c>
      <c r="AP7" s="3"/>
      <c r="AQ7" s="3"/>
      <c r="AR7" s="3"/>
      <c r="AU7" s="3"/>
      <c r="AV7" s="3"/>
      <c r="AW7" s="3"/>
      <c r="AX7" s="3"/>
      <c r="AY7" s="3"/>
      <c r="AZ7" s="3"/>
      <c r="BA7" s="3"/>
      <c r="BB7" s="3"/>
      <c r="BC7" s="3"/>
      <c r="BD7" s="3"/>
      <c r="BE7" s="3"/>
      <c r="BF7" s="3"/>
      <c r="BG7" s="3"/>
      <c r="BH7" s="3"/>
    </row>
    <row r="8" spans="1:74" s="4" customFormat="1" ht="141.75" customHeight="1" x14ac:dyDescent="0.2">
      <c r="A8" s="2170"/>
      <c r="B8" s="3339"/>
      <c r="C8" s="3339"/>
      <c r="D8" s="3339"/>
      <c r="E8" s="3339"/>
      <c r="F8" s="3339"/>
      <c r="G8" s="3339"/>
      <c r="H8" s="3339"/>
      <c r="I8" s="3339"/>
      <c r="J8" s="3339"/>
      <c r="K8" s="2908"/>
      <c r="L8" s="3339"/>
      <c r="M8" s="3339"/>
      <c r="N8" s="3339"/>
      <c r="O8" s="3645"/>
      <c r="P8" s="3646"/>
      <c r="Q8" s="3339"/>
      <c r="R8" s="3339"/>
      <c r="S8" s="3339"/>
      <c r="T8" s="186" t="s">
        <v>212</v>
      </c>
      <c r="U8" s="3650"/>
      <c r="V8" s="3339"/>
      <c r="W8" s="187" t="s">
        <v>35</v>
      </c>
      <c r="X8" s="188" t="s">
        <v>36</v>
      </c>
      <c r="Y8" s="187" t="s">
        <v>37</v>
      </c>
      <c r="Z8" s="187" t="s">
        <v>38</v>
      </c>
      <c r="AA8" s="187" t="s">
        <v>39</v>
      </c>
      <c r="AB8" s="187" t="s">
        <v>40</v>
      </c>
      <c r="AC8" s="187" t="s">
        <v>41</v>
      </c>
      <c r="AD8" s="187" t="s">
        <v>42</v>
      </c>
      <c r="AE8" s="187" t="s">
        <v>43</v>
      </c>
      <c r="AF8" s="187" t="s">
        <v>44</v>
      </c>
      <c r="AG8" s="187" t="s">
        <v>45</v>
      </c>
      <c r="AH8" s="187" t="s">
        <v>46</v>
      </c>
      <c r="AI8" s="187" t="s">
        <v>47</v>
      </c>
      <c r="AJ8" s="187" t="s">
        <v>48</v>
      </c>
      <c r="AK8" s="189" t="s">
        <v>49</v>
      </c>
      <c r="AL8" s="3649"/>
      <c r="AM8" s="2174"/>
      <c r="AN8" s="2174"/>
      <c r="AO8" s="2175"/>
      <c r="AP8" s="3"/>
      <c r="AQ8" s="3"/>
      <c r="AR8" s="3"/>
      <c r="AU8" s="3"/>
      <c r="AV8" s="3"/>
      <c r="AW8" s="3"/>
      <c r="AX8" s="3"/>
      <c r="AY8" s="3"/>
      <c r="AZ8" s="3"/>
      <c r="BA8" s="3"/>
      <c r="BB8" s="3"/>
      <c r="BC8" s="3"/>
      <c r="BD8" s="3"/>
      <c r="BE8" s="3"/>
      <c r="BF8" s="3"/>
      <c r="BG8" s="3"/>
      <c r="BH8" s="3"/>
    </row>
    <row r="9" spans="1:74" s="4" customFormat="1" ht="21" customHeight="1" x14ac:dyDescent="0.2">
      <c r="A9" s="190">
        <v>1</v>
      </c>
      <c r="B9" s="191" t="s">
        <v>214</v>
      </c>
      <c r="C9" s="192"/>
      <c r="D9" s="193"/>
      <c r="E9" s="194"/>
      <c r="F9" s="194"/>
      <c r="G9" s="194"/>
      <c r="H9" s="194"/>
      <c r="I9" s="193"/>
      <c r="J9" s="193"/>
      <c r="K9" s="195"/>
      <c r="L9" s="195"/>
      <c r="M9" s="196"/>
      <c r="N9" s="197"/>
      <c r="O9" s="198"/>
      <c r="P9" s="199"/>
      <c r="Q9" s="197"/>
      <c r="R9" s="197"/>
      <c r="S9" s="197"/>
      <c r="T9" s="200"/>
      <c r="U9" s="201"/>
      <c r="V9" s="196"/>
      <c r="W9" s="194"/>
      <c r="X9" s="194"/>
      <c r="Y9" s="194"/>
      <c r="Z9" s="194"/>
      <c r="AA9" s="194"/>
      <c r="AB9" s="194"/>
      <c r="AC9" s="194"/>
      <c r="AD9" s="194"/>
      <c r="AE9" s="194"/>
      <c r="AF9" s="194"/>
      <c r="AG9" s="194"/>
      <c r="AH9" s="194"/>
      <c r="AI9" s="194"/>
      <c r="AJ9" s="194"/>
      <c r="AK9" s="194"/>
      <c r="AL9" s="194"/>
      <c r="AM9" s="202"/>
      <c r="AN9" s="202"/>
      <c r="AO9" s="33"/>
      <c r="AP9" s="3"/>
      <c r="AQ9" s="3"/>
      <c r="AR9" s="3"/>
      <c r="AS9" s="3"/>
      <c r="AT9" s="3"/>
      <c r="AU9" s="3"/>
      <c r="AV9" s="3"/>
      <c r="AW9" s="3"/>
      <c r="AX9" s="3"/>
      <c r="AY9" s="3"/>
      <c r="AZ9" s="3"/>
      <c r="BA9" s="3"/>
      <c r="BB9" s="3"/>
      <c r="BC9" s="3"/>
      <c r="BD9" s="3"/>
      <c r="BE9" s="3"/>
      <c r="BF9" s="3"/>
      <c r="BG9" s="3"/>
      <c r="BH9" s="3"/>
    </row>
    <row r="10" spans="1:74" s="4" customFormat="1" ht="25.5" customHeight="1" x14ac:dyDescent="0.2">
      <c r="A10" s="203"/>
      <c r="B10" s="204"/>
      <c r="C10" s="205"/>
      <c r="D10" s="206">
        <v>16</v>
      </c>
      <c r="E10" s="207" t="s">
        <v>215</v>
      </c>
      <c r="F10" s="208"/>
      <c r="G10" s="209"/>
      <c r="H10" s="209"/>
      <c r="I10" s="210"/>
      <c r="J10" s="210"/>
      <c r="K10" s="211"/>
      <c r="L10" s="212"/>
      <c r="M10" s="213"/>
      <c r="N10" s="214"/>
      <c r="O10" s="215"/>
      <c r="P10" s="216"/>
      <c r="Q10" s="217"/>
      <c r="R10" s="217"/>
      <c r="S10" s="217"/>
      <c r="T10" s="218"/>
      <c r="U10" s="219"/>
      <c r="V10" s="213"/>
      <c r="W10" s="220"/>
      <c r="X10" s="220"/>
      <c r="Y10" s="220"/>
      <c r="Z10" s="220"/>
      <c r="AA10" s="220"/>
      <c r="AB10" s="220"/>
      <c r="AC10" s="220"/>
      <c r="AD10" s="220"/>
      <c r="AE10" s="220"/>
      <c r="AF10" s="220"/>
      <c r="AG10" s="220"/>
      <c r="AH10" s="220"/>
      <c r="AI10" s="220"/>
      <c r="AJ10" s="220"/>
      <c r="AK10" s="220"/>
      <c r="AL10" s="220"/>
      <c r="AM10" s="221"/>
      <c r="AN10" s="221"/>
      <c r="AO10" s="49"/>
      <c r="AP10" s="3"/>
      <c r="AQ10" s="3"/>
      <c r="AR10" s="3"/>
      <c r="AS10" s="3"/>
      <c r="AT10" s="3"/>
      <c r="AU10" s="3"/>
      <c r="AV10" s="3"/>
      <c r="AW10" s="3"/>
      <c r="AX10" s="3"/>
      <c r="AY10" s="3"/>
      <c r="AZ10" s="3"/>
      <c r="BA10" s="3"/>
      <c r="BB10" s="3"/>
      <c r="BC10" s="3"/>
      <c r="BD10" s="3"/>
      <c r="BE10" s="3"/>
      <c r="BF10" s="3"/>
      <c r="BG10" s="3"/>
      <c r="BH10" s="3"/>
    </row>
    <row r="11" spans="1:74" s="234" customFormat="1" ht="180.75" customHeight="1" x14ac:dyDescent="0.2">
      <c r="A11" s="222"/>
      <c r="B11" s="223"/>
      <c r="C11" s="224"/>
      <c r="D11" s="225"/>
      <c r="E11" s="226"/>
      <c r="F11" s="227"/>
      <c r="G11" s="2601">
        <v>2301024</v>
      </c>
      <c r="H11" s="2601">
        <v>16.399999999999999</v>
      </c>
      <c r="I11" s="3017" t="s">
        <v>216</v>
      </c>
      <c r="J11" s="2397" t="s">
        <v>217</v>
      </c>
      <c r="K11" s="2601">
        <v>1</v>
      </c>
      <c r="L11" s="2260" t="s">
        <v>218</v>
      </c>
      <c r="M11" s="2182" t="s">
        <v>219</v>
      </c>
      <c r="N11" s="2312" t="s">
        <v>220</v>
      </c>
      <c r="O11" s="2213">
        <f>(T11+T12+T13+T14+T16+T15)/P11</f>
        <v>0.87920535</v>
      </c>
      <c r="P11" s="3639">
        <f>SUM(T11:T17)</f>
        <v>200000000</v>
      </c>
      <c r="Q11" s="2181" t="s">
        <v>221</v>
      </c>
      <c r="R11" s="3375" t="s">
        <v>222</v>
      </c>
      <c r="S11" s="228" t="s">
        <v>223</v>
      </c>
      <c r="T11" s="229">
        <f>25365332-5029334</f>
        <v>20335998</v>
      </c>
      <c r="U11" s="230">
        <v>20</v>
      </c>
      <c r="V11" s="231" t="s">
        <v>224</v>
      </c>
      <c r="W11" s="2491">
        <v>295972</v>
      </c>
      <c r="X11" s="2641">
        <v>294321</v>
      </c>
      <c r="Y11" s="2657">
        <v>132302</v>
      </c>
      <c r="Z11" s="2657">
        <v>43426</v>
      </c>
      <c r="AA11" s="2657">
        <v>313940</v>
      </c>
      <c r="AB11" s="2657">
        <v>100625</v>
      </c>
      <c r="AC11" s="2657">
        <v>2145</v>
      </c>
      <c r="AD11" s="2657">
        <v>12718</v>
      </c>
      <c r="AE11" s="2657">
        <v>36</v>
      </c>
      <c r="AF11" s="2657">
        <v>0</v>
      </c>
      <c r="AG11" s="2657">
        <v>0</v>
      </c>
      <c r="AH11" s="2657">
        <v>0</v>
      </c>
      <c r="AI11" s="2657">
        <v>70</v>
      </c>
      <c r="AJ11" s="2657">
        <v>21944</v>
      </c>
      <c r="AK11" s="2657">
        <v>285</v>
      </c>
      <c r="AL11" s="2657">
        <f>+W11+X11</f>
        <v>590293</v>
      </c>
      <c r="AM11" s="2216">
        <v>44033</v>
      </c>
      <c r="AN11" s="2216">
        <v>44195</v>
      </c>
      <c r="AO11" s="3644" t="s">
        <v>225</v>
      </c>
      <c r="AP11" s="233"/>
      <c r="AQ11" s="233"/>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row>
    <row r="12" spans="1:74" s="4" customFormat="1" ht="88.5" customHeight="1" x14ac:dyDescent="0.2">
      <c r="A12" s="63"/>
      <c r="B12" s="95"/>
      <c r="C12" s="96"/>
      <c r="D12" s="3"/>
      <c r="E12" s="235"/>
      <c r="F12" s="236"/>
      <c r="G12" s="2602"/>
      <c r="H12" s="2602"/>
      <c r="I12" s="3017"/>
      <c r="J12" s="2398"/>
      <c r="K12" s="2602"/>
      <c r="L12" s="2261"/>
      <c r="M12" s="2183"/>
      <c r="N12" s="2312"/>
      <c r="O12" s="2213"/>
      <c r="P12" s="3640"/>
      <c r="Q12" s="2181"/>
      <c r="R12" s="3642"/>
      <c r="S12" s="2397" t="s">
        <v>226</v>
      </c>
      <c r="T12" s="237">
        <v>4219868</v>
      </c>
      <c r="U12" s="230">
        <v>20</v>
      </c>
      <c r="V12" s="231" t="s">
        <v>224</v>
      </c>
      <c r="W12" s="2491"/>
      <c r="X12" s="2642"/>
      <c r="Y12" s="2658"/>
      <c r="Z12" s="2658"/>
      <c r="AA12" s="2658"/>
      <c r="AB12" s="2658"/>
      <c r="AC12" s="2658"/>
      <c r="AD12" s="2658"/>
      <c r="AE12" s="2658"/>
      <c r="AF12" s="2658"/>
      <c r="AG12" s="2658"/>
      <c r="AH12" s="2658"/>
      <c r="AI12" s="2658"/>
      <c r="AJ12" s="2658"/>
      <c r="AK12" s="2658"/>
      <c r="AL12" s="2658"/>
      <c r="AM12" s="2217"/>
      <c r="AN12" s="2217"/>
      <c r="AO12" s="3644"/>
      <c r="AP12" s="238"/>
      <c r="AQ12" s="238"/>
      <c r="AR12" s="3"/>
      <c r="AS12" s="3"/>
      <c r="AT12" s="3"/>
      <c r="AU12" s="3"/>
      <c r="AV12" s="3"/>
      <c r="AW12" s="3"/>
      <c r="AX12" s="3"/>
      <c r="AY12" s="3"/>
      <c r="AZ12" s="3"/>
      <c r="BA12" s="3"/>
      <c r="BB12" s="3"/>
      <c r="BC12" s="3"/>
      <c r="BD12" s="3"/>
      <c r="BE12" s="3"/>
      <c r="BF12" s="3"/>
      <c r="BG12" s="3"/>
      <c r="BH12" s="3"/>
    </row>
    <row r="13" spans="1:74" s="4" customFormat="1" ht="99" customHeight="1" x14ac:dyDescent="0.2">
      <c r="A13" s="63"/>
      <c r="B13" s="95"/>
      <c r="C13" s="96"/>
      <c r="D13" s="3"/>
      <c r="E13" s="235"/>
      <c r="F13" s="236"/>
      <c r="G13" s="2602"/>
      <c r="H13" s="2602"/>
      <c r="I13" s="3017"/>
      <c r="J13" s="2398"/>
      <c r="K13" s="2602"/>
      <c r="L13" s="2261"/>
      <c r="M13" s="2183"/>
      <c r="N13" s="2312"/>
      <c r="O13" s="2213"/>
      <c r="P13" s="3640"/>
      <c r="Q13" s="2181"/>
      <c r="R13" s="3642"/>
      <c r="S13" s="3647"/>
      <c r="T13" s="237">
        <v>45780132</v>
      </c>
      <c r="U13" s="230">
        <v>88</v>
      </c>
      <c r="V13" s="231" t="s">
        <v>227</v>
      </c>
      <c r="W13" s="2491"/>
      <c r="X13" s="2642"/>
      <c r="Y13" s="2658"/>
      <c r="Z13" s="2658"/>
      <c r="AA13" s="2658"/>
      <c r="AB13" s="2658"/>
      <c r="AC13" s="2658"/>
      <c r="AD13" s="2658"/>
      <c r="AE13" s="2658"/>
      <c r="AF13" s="2658"/>
      <c r="AG13" s="2658"/>
      <c r="AH13" s="2658"/>
      <c r="AI13" s="2658"/>
      <c r="AJ13" s="2658"/>
      <c r="AK13" s="2658"/>
      <c r="AL13" s="2658"/>
      <c r="AM13" s="2217"/>
      <c r="AN13" s="2217"/>
      <c r="AO13" s="3644"/>
      <c r="AP13" s="238"/>
      <c r="AQ13" s="238"/>
      <c r="AR13" s="3"/>
      <c r="AS13" s="3"/>
      <c r="AT13" s="3"/>
      <c r="AU13" s="3"/>
      <c r="AV13" s="3"/>
      <c r="AW13" s="3"/>
      <c r="AX13" s="3"/>
      <c r="AY13" s="3"/>
      <c r="AZ13" s="3"/>
      <c r="BA13" s="3"/>
      <c r="BB13" s="3"/>
      <c r="BC13" s="3"/>
      <c r="BD13" s="3"/>
      <c r="BE13" s="3"/>
      <c r="BF13" s="3"/>
      <c r="BG13" s="3"/>
      <c r="BH13" s="3"/>
    </row>
    <row r="14" spans="1:74" s="4" customFormat="1" ht="90" customHeight="1" x14ac:dyDescent="0.2">
      <c r="A14" s="239"/>
      <c r="B14" s="240"/>
      <c r="C14" s="241"/>
      <c r="D14" s="242"/>
      <c r="E14" s="243"/>
      <c r="F14" s="244"/>
      <c r="G14" s="2602"/>
      <c r="H14" s="2602"/>
      <c r="I14" s="3017"/>
      <c r="J14" s="2398"/>
      <c r="K14" s="2602"/>
      <c r="L14" s="2261"/>
      <c r="M14" s="2183"/>
      <c r="N14" s="2312"/>
      <c r="O14" s="2213"/>
      <c r="P14" s="3640"/>
      <c r="Q14" s="2181"/>
      <c r="R14" s="3642"/>
      <c r="S14" s="228" t="s">
        <v>228</v>
      </c>
      <c r="T14" s="237">
        <f>22019202-5815303</f>
        <v>16203899</v>
      </c>
      <c r="U14" s="230">
        <v>20</v>
      </c>
      <c r="V14" s="231" t="s">
        <v>224</v>
      </c>
      <c r="W14" s="2491"/>
      <c r="X14" s="2642"/>
      <c r="Y14" s="2658"/>
      <c r="Z14" s="2658"/>
      <c r="AA14" s="2658"/>
      <c r="AB14" s="2658"/>
      <c r="AC14" s="2658"/>
      <c r="AD14" s="2658"/>
      <c r="AE14" s="2658"/>
      <c r="AF14" s="2658"/>
      <c r="AG14" s="2658"/>
      <c r="AH14" s="2658"/>
      <c r="AI14" s="2658"/>
      <c r="AJ14" s="2658"/>
      <c r="AK14" s="2658"/>
      <c r="AL14" s="2658"/>
      <c r="AM14" s="2217"/>
      <c r="AN14" s="2217"/>
      <c r="AO14" s="3644"/>
      <c r="AP14" s="245"/>
      <c r="AQ14" s="245"/>
      <c r="AR14" s="242"/>
      <c r="AS14" s="242"/>
      <c r="AT14" s="242"/>
      <c r="AU14" s="242"/>
      <c r="AV14" s="242"/>
      <c r="AW14" s="242"/>
      <c r="AX14" s="242"/>
      <c r="AY14" s="242"/>
      <c r="AZ14" s="242"/>
      <c r="BA14" s="242"/>
      <c r="BB14" s="242"/>
      <c r="BC14" s="242"/>
      <c r="BD14" s="242"/>
      <c r="BE14" s="242"/>
      <c r="BF14" s="242"/>
      <c r="BG14" s="242"/>
      <c r="BH14" s="242"/>
    </row>
    <row r="15" spans="1:74" s="4" customFormat="1" ht="90" customHeight="1" x14ac:dyDescent="0.2">
      <c r="A15" s="239"/>
      <c r="B15" s="240"/>
      <c r="C15" s="241"/>
      <c r="D15" s="242"/>
      <c r="E15" s="243"/>
      <c r="F15" s="244"/>
      <c r="G15" s="2602"/>
      <c r="H15" s="2602"/>
      <c r="I15" s="3017"/>
      <c r="J15" s="2398"/>
      <c r="K15" s="2602"/>
      <c r="L15" s="2261"/>
      <c r="M15" s="2183"/>
      <c r="N15" s="2312"/>
      <c r="O15" s="2213"/>
      <c r="P15" s="3640"/>
      <c r="Q15" s="2181"/>
      <c r="R15" s="3642"/>
      <c r="S15" s="2397" t="s">
        <v>229</v>
      </c>
      <c r="T15" s="237">
        <f>5029334+5815303+6432536</f>
        <v>17277173</v>
      </c>
      <c r="U15" s="230">
        <v>20</v>
      </c>
      <c r="V15" s="231" t="s">
        <v>224</v>
      </c>
      <c r="W15" s="2491"/>
      <c r="X15" s="2642"/>
      <c r="Y15" s="2658"/>
      <c r="Z15" s="2658"/>
      <c r="AA15" s="2658"/>
      <c r="AB15" s="2658"/>
      <c r="AC15" s="2658"/>
      <c r="AD15" s="2658"/>
      <c r="AE15" s="2658"/>
      <c r="AF15" s="2658"/>
      <c r="AG15" s="2658"/>
      <c r="AH15" s="2658"/>
      <c r="AI15" s="2658"/>
      <c r="AJ15" s="2658"/>
      <c r="AK15" s="2658"/>
      <c r="AL15" s="2658"/>
      <c r="AM15" s="2217"/>
      <c r="AN15" s="2217"/>
      <c r="AO15" s="3644"/>
      <c r="AP15" s="245"/>
      <c r="AQ15" s="245"/>
      <c r="AR15" s="242"/>
      <c r="AS15" s="242"/>
      <c r="AT15" s="242"/>
      <c r="AU15" s="242"/>
      <c r="AV15" s="242"/>
      <c r="AW15" s="242"/>
      <c r="AX15" s="242"/>
      <c r="AY15" s="242"/>
      <c r="AZ15" s="242"/>
      <c r="BA15" s="242"/>
      <c r="BB15" s="242"/>
      <c r="BC15" s="242"/>
      <c r="BD15" s="242"/>
      <c r="BE15" s="242"/>
      <c r="BF15" s="242"/>
      <c r="BG15" s="242"/>
      <c r="BH15" s="242"/>
    </row>
    <row r="16" spans="1:74" s="4" customFormat="1" ht="81" customHeight="1" x14ac:dyDescent="0.2">
      <c r="A16" s="239"/>
      <c r="B16" s="240"/>
      <c r="C16" s="241"/>
      <c r="D16" s="242"/>
      <c r="E16" s="243"/>
      <c r="F16" s="244"/>
      <c r="G16" s="2603"/>
      <c r="H16" s="2603"/>
      <c r="I16" s="3017"/>
      <c r="J16" s="2819"/>
      <c r="K16" s="2603"/>
      <c r="L16" s="2261"/>
      <c r="M16" s="2183"/>
      <c r="N16" s="2312"/>
      <c r="O16" s="2213"/>
      <c r="P16" s="3640"/>
      <c r="Q16" s="2181"/>
      <c r="R16" s="3643"/>
      <c r="S16" s="2819"/>
      <c r="T16" s="237">
        <v>72024000</v>
      </c>
      <c r="U16" s="230">
        <v>88</v>
      </c>
      <c r="V16" s="231" t="s">
        <v>227</v>
      </c>
      <c r="W16" s="2491"/>
      <c r="X16" s="2642"/>
      <c r="Y16" s="2658"/>
      <c r="Z16" s="2658"/>
      <c r="AA16" s="2658"/>
      <c r="AB16" s="2658"/>
      <c r="AC16" s="2658"/>
      <c r="AD16" s="2658"/>
      <c r="AE16" s="2658"/>
      <c r="AF16" s="2658"/>
      <c r="AG16" s="2658"/>
      <c r="AH16" s="2658"/>
      <c r="AI16" s="2658"/>
      <c r="AJ16" s="2658"/>
      <c r="AK16" s="2658"/>
      <c r="AL16" s="2658"/>
      <c r="AM16" s="2217"/>
      <c r="AN16" s="2217"/>
      <c r="AO16" s="3644"/>
      <c r="AP16" s="245"/>
      <c r="AQ16" s="245"/>
      <c r="AR16" s="242"/>
      <c r="AS16" s="242"/>
      <c r="AT16" s="242"/>
      <c r="AU16" s="242"/>
      <c r="AV16" s="242"/>
      <c r="AW16" s="242"/>
      <c r="AX16" s="242"/>
      <c r="AY16" s="242"/>
      <c r="AZ16" s="242"/>
      <c r="BA16" s="242"/>
      <c r="BB16" s="242"/>
      <c r="BC16" s="242"/>
      <c r="BD16" s="242"/>
      <c r="BE16" s="242"/>
      <c r="BF16" s="242"/>
      <c r="BG16" s="242"/>
      <c r="BH16" s="242"/>
    </row>
    <row r="17" spans="1:60" s="4" customFormat="1" ht="177.75" customHeight="1" x14ac:dyDescent="0.2">
      <c r="A17" s="246"/>
      <c r="C17" s="115"/>
      <c r="D17" s="247"/>
      <c r="E17" s="248"/>
      <c r="F17" s="249"/>
      <c r="G17" s="250">
        <v>2301030</v>
      </c>
      <c r="H17" s="251" t="s">
        <v>230</v>
      </c>
      <c r="I17" s="252" t="s">
        <v>231</v>
      </c>
      <c r="J17" s="253" t="s">
        <v>232</v>
      </c>
      <c r="K17" s="254">
        <v>500</v>
      </c>
      <c r="L17" s="2262"/>
      <c r="M17" s="2492"/>
      <c r="N17" s="3077"/>
      <c r="O17" s="255">
        <f>T17/P11</f>
        <v>0.12079465</v>
      </c>
      <c r="P17" s="3641"/>
      <c r="Q17" s="2181"/>
      <c r="R17" s="256" t="s">
        <v>233</v>
      </c>
      <c r="S17" s="257" t="s">
        <v>234</v>
      </c>
      <c r="T17" s="229">
        <f>30591466-6432536</f>
        <v>24158930</v>
      </c>
      <c r="U17" s="230">
        <v>20</v>
      </c>
      <c r="V17" s="231" t="s">
        <v>224</v>
      </c>
      <c r="W17" s="2491"/>
      <c r="X17" s="2643"/>
      <c r="Y17" s="2659"/>
      <c r="Z17" s="2659"/>
      <c r="AA17" s="2659"/>
      <c r="AB17" s="2659"/>
      <c r="AC17" s="2659"/>
      <c r="AD17" s="2659"/>
      <c r="AE17" s="2659"/>
      <c r="AF17" s="2659"/>
      <c r="AG17" s="2659"/>
      <c r="AH17" s="2659"/>
      <c r="AI17" s="2659"/>
      <c r="AJ17" s="2659"/>
      <c r="AK17" s="2659"/>
      <c r="AL17" s="2659"/>
      <c r="AM17" s="2292"/>
      <c r="AN17" s="2292"/>
      <c r="AO17" s="3644"/>
      <c r="AP17" s="238"/>
      <c r="AQ17" s="238"/>
    </row>
    <row r="18" spans="1:60" s="4" customFormat="1" ht="27" customHeight="1" x14ac:dyDescent="0.2">
      <c r="A18" s="34"/>
      <c r="B18" s="35"/>
      <c r="C18" s="258"/>
      <c r="D18" s="259">
        <v>17</v>
      </c>
      <c r="E18" s="207" t="s">
        <v>235</v>
      </c>
      <c r="F18" s="208"/>
      <c r="G18" s="209"/>
      <c r="H18" s="209"/>
      <c r="I18" s="210"/>
      <c r="J18" s="260"/>
      <c r="K18" s="211"/>
      <c r="L18" s="1491"/>
      <c r="M18" s="262"/>
      <c r="N18" s="261"/>
      <c r="O18" s="263"/>
      <c r="P18" s="264"/>
      <c r="Q18" s="261"/>
      <c r="R18" s="261"/>
      <c r="S18" s="261"/>
      <c r="T18" s="265"/>
      <c r="U18" s="266"/>
      <c r="V18" s="267"/>
      <c r="W18" s="268"/>
      <c r="X18" s="211"/>
      <c r="Y18" s="211"/>
      <c r="Z18" s="211"/>
      <c r="AA18" s="211"/>
      <c r="AB18" s="211"/>
      <c r="AC18" s="211"/>
      <c r="AD18" s="211"/>
      <c r="AE18" s="211"/>
      <c r="AF18" s="211"/>
      <c r="AG18" s="211"/>
      <c r="AH18" s="211"/>
      <c r="AI18" s="211"/>
      <c r="AJ18" s="211"/>
      <c r="AK18" s="211"/>
      <c r="AL18" s="211"/>
      <c r="AM18" s="269"/>
      <c r="AN18" s="269"/>
      <c r="AO18" s="270"/>
      <c r="AP18" s="3"/>
      <c r="AQ18" s="3"/>
      <c r="AR18" s="3"/>
      <c r="AS18" s="3"/>
      <c r="AT18" s="3"/>
      <c r="AU18" s="3"/>
      <c r="AV18" s="3"/>
      <c r="AW18" s="3"/>
      <c r="AX18" s="3"/>
      <c r="AY18" s="3"/>
      <c r="AZ18" s="3"/>
      <c r="BA18" s="3"/>
      <c r="BB18" s="3"/>
      <c r="BC18" s="3"/>
      <c r="BD18" s="3"/>
      <c r="BE18" s="3"/>
      <c r="BF18" s="3"/>
      <c r="BG18" s="3"/>
      <c r="BH18" s="3"/>
    </row>
    <row r="19" spans="1:60" s="4" customFormat="1" ht="243.75" customHeight="1" x14ac:dyDescent="0.2">
      <c r="A19" s="271"/>
      <c r="B19" s="272"/>
      <c r="C19" s="66"/>
      <c r="D19" s="273"/>
      <c r="E19" s="274"/>
      <c r="F19" s="275"/>
      <c r="G19" s="87">
        <v>2302042</v>
      </c>
      <c r="H19" s="276" t="s">
        <v>236</v>
      </c>
      <c r="I19" s="119" t="s">
        <v>237</v>
      </c>
      <c r="J19" s="277" t="s">
        <v>238</v>
      </c>
      <c r="K19" s="88">
        <v>1</v>
      </c>
      <c r="L19" s="1663" t="s">
        <v>239</v>
      </c>
      <c r="M19" s="278" t="s">
        <v>240</v>
      </c>
      <c r="N19" s="119" t="s">
        <v>241</v>
      </c>
      <c r="O19" s="279">
        <f>+T19/P19</f>
        <v>1</v>
      </c>
      <c r="P19" s="229">
        <f>+T19</f>
        <v>7164000</v>
      </c>
      <c r="Q19" s="277" t="s">
        <v>242</v>
      </c>
      <c r="R19" s="277" t="s">
        <v>243</v>
      </c>
      <c r="S19" s="228" t="s">
        <v>244</v>
      </c>
      <c r="T19" s="229">
        <v>7164000</v>
      </c>
      <c r="U19" s="280">
        <v>88</v>
      </c>
      <c r="V19" s="281" t="s">
        <v>224</v>
      </c>
      <c r="W19" s="282">
        <v>295972</v>
      </c>
      <c r="X19" s="278">
        <v>294321</v>
      </c>
      <c r="Y19" s="278">
        <v>132302</v>
      </c>
      <c r="Z19" s="278">
        <v>43426</v>
      </c>
      <c r="AA19" s="278">
        <v>313940</v>
      </c>
      <c r="AB19" s="278">
        <v>100625</v>
      </c>
      <c r="AC19" s="278">
        <v>2145</v>
      </c>
      <c r="AD19" s="278">
        <v>12718</v>
      </c>
      <c r="AE19" s="278">
        <v>36</v>
      </c>
      <c r="AF19" s="283">
        <v>0</v>
      </c>
      <c r="AG19" s="283">
        <v>0</v>
      </c>
      <c r="AH19" s="283">
        <v>0</v>
      </c>
      <c r="AI19" s="278">
        <v>70</v>
      </c>
      <c r="AJ19" s="278">
        <v>21944</v>
      </c>
      <c r="AK19" s="278">
        <v>285</v>
      </c>
      <c r="AL19" s="278">
        <f>+W19+X19</f>
        <v>590293</v>
      </c>
      <c r="AM19" s="83">
        <v>44033</v>
      </c>
      <c r="AN19" s="83">
        <v>44195</v>
      </c>
      <c r="AO19" s="284" t="s">
        <v>225</v>
      </c>
      <c r="AQ19" s="3"/>
      <c r="AR19" s="3"/>
      <c r="AS19" s="3"/>
      <c r="AT19" s="3"/>
      <c r="AU19" s="3"/>
      <c r="AV19" s="3"/>
      <c r="AW19" s="3"/>
      <c r="AX19" s="3"/>
      <c r="AY19" s="3"/>
      <c r="AZ19" s="3"/>
      <c r="BA19" s="3"/>
      <c r="BB19" s="3"/>
      <c r="BC19" s="3"/>
      <c r="BD19" s="3"/>
      <c r="BE19" s="3"/>
      <c r="BF19" s="3"/>
      <c r="BG19" s="3"/>
      <c r="BH19" s="3"/>
    </row>
    <row r="20" spans="1:60" s="4" customFormat="1" ht="21" customHeight="1" x14ac:dyDescent="0.2">
      <c r="A20" s="285">
        <v>2</v>
      </c>
      <c r="B20" s="286" t="s">
        <v>245</v>
      </c>
      <c r="C20" s="287"/>
      <c r="D20" s="193"/>
      <c r="E20" s="194"/>
      <c r="F20" s="194"/>
      <c r="G20" s="194"/>
      <c r="H20" s="194"/>
      <c r="I20" s="193"/>
      <c r="J20" s="193"/>
      <c r="K20" s="195"/>
      <c r="L20" s="1534"/>
      <c r="M20" s="196"/>
      <c r="N20" s="288"/>
      <c r="O20" s="198"/>
      <c r="P20" s="289"/>
      <c r="Q20" s="288"/>
      <c r="R20" s="288"/>
      <c r="S20" s="288"/>
      <c r="T20" s="290"/>
      <c r="U20" s="291"/>
      <c r="V20" s="288"/>
      <c r="W20" s="292"/>
      <c r="X20" s="292"/>
      <c r="Y20" s="292"/>
      <c r="Z20" s="292"/>
      <c r="AA20" s="292"/>
      <c r="AB20" s="292"/>
      <c r="AC20" s="292"/>
      <c r="AD20" s="292"/>
      <c r="AE20" s="292"/>
      <c r="AF20" s="292"/>
      <c r="AG20" s="292"/>
      <c r="AH20" s="292"/>
      <c r="AI20" s="292"/>
      <c r="AJ20" s="292"/>
      <c r="AK20" s="292"/>
      <c r="AL20" s="292"/>
      <c r="AM20" s="293"/>
      <c r="AN20" s="293"/>
      <c r="AO20" s="294"/>
      <c r="AP20" s="3"/>
      <c r="AQ20" s="3"/>
      <c r="AR20" s="3"/>
      <c r="AS20" s="3"/>
      <c r="AT20" s="3"/>
      <c r="AU20" s="3"/>
      <c r="AV20" s="3"/>
      <c r="AW20" s="3"/>
      <c r="AX20" s="3"/>
      <c r="AY20" s="3"/>
      <c r="AZ20" s="3"/>
      <c r="BA20" s="3"/>
      <c r="BB20" s="3"/>
      <c r="BC20" s="3"/>
      <c r="BD20" s="3"/>
      <c r="BE20" s="3"/>
      <c r="BF20" s="3"/>
      <c r="BG20" s="3"/>
      <c r="BH20" s="3"/>
    </row>
    <row r="21" spans="1:60" s="4" customFormat="1" ht="27" customHeight="1" x14ac:dyDescent="0.2">
      <c r="A21" s="203"/>
      <c r="B21" s="204"/>
      <c r="C21" s="205"/>
      <c r="D21" s="259">
        <v>31</v>
      </c>
      <c r="E21" s="295" t="s">
        <v>246</v>
      </c>
      <c r="F21" s="210"/>
      <c r="G21" s="209"/>
      <c r="H21" s="209"/>
      <c r="I21" s="210"/>
      <c r="J21" s="210"/>
      <c r="K21" s="211"/>
      <c r="L21" s="1491"/>
      <c r="M21" s="262"/>
      <c r="N21" s="261"/>
      <c r="O21" s="296"/>
      <c r="P21" s="264"/>
      <c r="Q21" s="261"/>
      <c r="R21" s="261"/>
      <c r="S21" s="261"/>
      <c r="T21" s="297"/>
      <c r="U21" s="298"/>
      <c r="V21" s="261"/>
      <c r="W21" s="211"/>
      <c r="X21" s="211"/>
      <c r="Y21" s="211"/>
      <c r="Z21" s="211"/>
      <c r="AA21" s="211"/>
      <c r="AB21" s="211"/>
      <c r="AC21" s="211"/>
      <c r="AD21" s="211"/>
      <c r="AE21" s="211"/>
      <c r="AF21" s="211"/>
      <c r="AG21" s="211"/>
      <c r="AH21" s="211"/>
      <c r="AI21" s="211"/>
      <c r="AJ21" s="211"/>
      <c r="AK21" s="211"/>
      <c r="AL21" s="211"/>
      <c r="AM21" s="269"/>
      <c r="AN21" s="269"/>
      <c r="AO21" s="270"/>
      <c r="AP21" s="3"/>
      <c r="AQ21" s="3"/>
      <c r="AR21" s="3"/>
      <c r="AS21" s="3"/>
      <c r="AT21" s="3"/>
      <c r="AU21" s="3"/>
      <c r="AV21" s="3"/>
      <c r="AW21" s="3"/>
      <c r="AX21" s="3"/>
      <c r="AY21" s="3"/>
      <c r="AZ21" s="3"/>
      <c r="BA21" s="3"/>
      <c r="BB21" s="3"/>
      <c r="BC21" s="3"/>
      <c r="BD21" s="3"/>
      <c r="BE21" s="3"/>
      <c r="BF21" s="3"/>
      <c r="BG21" s="3"/>
      <c r="BH21" s="3"/>
    </row>
    <row r="22" spans="1:60" s="4" customFormat="1" ht="122.25" customHeight="1" x14ac:dyDescent="0.2">
      <c r="A22" s="63"/>
      <c r="B22" s="95"/>
      <c r="C22" s="96"/>
      <c r="D22" s="299"/>
      <c r="E22" s="274"/>
      <c r="F22" s="275"/>
      <c r="G22" s="87">
        <v>3903005</v>
      </c>
      <c r="H22" s="276" t="s">
        <v>247</v>
      </c>
      <c r="I22" s="119" t="s">
        <v>248</v>
      </c>
      <c r="J22" s="277" t="s">
        <v>249</v>
      </c>
      <c r="K22" s="88">
        <v>1</v>
      </c>
      <c r="L22" s="1663" t="s">
        <v>250</v>
      </c>
      <c r="M22" s="282" t="s">
        <v>251</v>
      </c>
      <c r="N22" s="119" t="s">
        <v>252</v>
      </c>
      <c r="O22" s="279">
        <f>+T22/P22</f>
        <v>1</v>
      </c>
      <c r="P22" s="229">
        <f>+T22</f>
        <v>54000000</v>
      </c>
      <c r="Q22" s="300" t="s">
        <v>253</v>
      </c>
      <c r="R22" s="300" t="s">
        <v>254</v>
      </c>
      <c r="S22" s="228" t="s">
        <v>255</v>
      </c>
      <c r="T22" s="229">
        <v>54000000</v>
      </c>
      <c r="U22" s="280">
        <v>88</v>
      </c>
      <c r="V22" s="281" t="s">
        <v>227</v>
      </c>
      <c r="W22" s="282">
        <v>295972</v>
      </c>
      <c r="X22" s="282">
        <v>285580</v>
      </c>
      <c r="Y22" s="282">
        <v>66084</v>
      </c>
      <c r="Z22" s="282">
        <v>21618</v>
      </c>
      <c r="AA22" s="282">
        <v>157087</v>
      </c>
      <c r="AB22" s="282">
        <v>51183</v>
      </c>
      <c r="AC22" s="282">
        <v>2145</v>
      </c>
      <c r="AD22" s="282">
        <v>12718</v>
      </c>
      <c r="AE22" s="282">
        <v>26</v>
      </c>
      <c r="AF22" s="282">
        <v>37</v>
      </c>
      <c r="AG22" s="282">
        <v>0</v>
      </c>
      <c r="AH22" s="282">
        <v>0</v>
      </c>
      <c r="AI22" s="282">
        <v>44350</v>
      </c>
      <c r="AJ22" s="282">
        <v>21944</v>
      </c>
      <c r="AK22" s="282">
        <v>578</v>
      </c>
      <c r="AL22" s="282">
        <f>+W22+X22</f>
        <v>581552</v>
      </c>
      <c r="AM22" s="83">
        <v>44025</v>
      </c>
      <c r="AN22" s="83">
        <v>44195</v>
      </c>
      <c r="AO22" s="284" t="s">
        <v>225</v>
      </c>
      <c r="AQ22" s="3"/>
      <c r="AR22" s="3"/>
      <c r="AS22" s="3"/>
      <c r="AT22" s="3"/>
      <c r="AU22" s="3"/>
      <c r="AV22" s="3"/>
      <c r="AW22" s="3"/>
      <c r="AX22" s="3"/>
      <c r="AY22" s="3"/>
      <c r="AZ22" s="3"/>
      <c r="BA22" s="3"/>
      <c r="BB22" s="3"/>
      <c r="BC22" s="3"/>
      <c r="BD22" s="3"/>
      <c r="BE22" s="3"/>
      <c r="BF22" s="3"/>
      <c r="BG22" s="3"/>
      <c r="BH22" s="3"/>
    </row>
    <row r="23" spans="1:60" s="4" customFormat="1" ht="30.75" customHeight="1" x14ac:dyDescent="0.2">
      <c r="A23" s="34"/>
      <c r="B23" s="35"/>
      <c r="C23" s="258"/>
      <c r="D23" s="36">
        <v>32</v>
      </c>
      <c r="E23" s="295" t="s">
        <v>256</v>
      </c>
      <c r="F23" s="210"/>
      <c r="G23" s="209"/>
      <c r="H23" s="209"/>
      <c r="I23" s="210"/>
      <c r="J23" s="210"/>
      <c r="K23" s="211"/>
      <c r="L23" s="1491"/>
      <c r="M23" s="262"/>
      <c r="N23" s="261"/>
      <c r="O23" s="296"/>
      <c r="P23" s="264"/>
      <c r="Q23" s="261"/>
      <c r="R23" s="261"/>
      <c r="S23" s="261"/>
      <c r="T23" s="297"/>
      <c r="U23" s="298"/>
      <c r="V23" s="261"/>
      <c r="W23" s="211"/>
      <c r="X23" s="211"/>
      <c r="Y23" s="211"/>
      <c r="Z23" s="211"/>
      <c r="AA23" s="211"/>
      <c r="AB23" s="211"/>
      <c r="AC23" s="211"/>
      <c r="AD23" s="211"/>
      <c r="AE23" s="211"/>
      <c r="AF23" s="211"/>
      <c r="AG23" s="211"/>
      <c r="AH23" s="211"/>
      <c r="AI23" s="211"/>
      <c r="AJ23" s="211"/>
      <c r="AK23" s="211"/>
      <c r="AL23" s="211"/>
      <c r="AM23" s="269"/>
      <c r="AN23" s="269"/>
      <c r="AO23" s="270"/>
      <c r="AP23" s="3"/>
      <c r="AQ23" s="3"/>
      <c r="AR23" s="3"/>
      <c r="AS23" s="3"/>
      <c r="AT23" s="3"/>
      <c r="AU23" s="3"/>
      <c r="AV23" s="3"/>
      <c r="AW23" s="3"/>
      <c r="AX23" s="3"/>
      <c r="AY23" s="3"/>
      <c r="AZ23" s="3"/>
      <c r="BA23" s="3"/>
      <c r="BB23" s="3"/>
      <c r="BC23" s="3"/>
      <c r="BD23" s="3"/>
      <c r="BE23" s="3"/>
      <c r="BF23" s="3"/>
      <c r="BG23" s="3"/>
      <c r="BH23" s="3"/>
    </row>
    <row r="24" spans="1:60" s="4" customFormat="1" ht="159" customHeight="1" x14ac:dyDescent="0.2">
      <c r="A24" s="271"/>
      <c r="B24" s="272"/>
      <c r="C24" s="66"/>
      <c r="D24" s="299"/>
      <c r="E24" s="274"/>
      <c r="F24" s="275"/>
      <c r="G24" s="88" t="s">
        <v>257</v>
      </c>
      <c r="H24" s="301" t="s">
        <v>258</v>
      </c>
      <c r="I24" s="277" t="s">
        <v>259</v>
      </c>
      <c r="J24" s="277" t="s">
        <v>260</v>
      </c>
      <c r="K24" s="88">
        <v>1</v>
      </c>
      <c r="L24" s="1663" t="s">
        <v>261</v>
      </c>
      <c r="M24" s="278" t="s">
        <v>262</v>
      </c>
      <c r="N24" s="119" t="s">
        <v>263</v>
      </c>
      <c r="O24" s="279">
        <f>+T24/P24</f>
        <v>1</v>
      </c>
      <c r="P24" s="229">
        <f>+T24</f>
        <v>18000000</v>
      </c>
      <c r="Q24" s="300" t="s">
        <v>264</v>
      </c>
      <c r="R24" s="302" t="s">
        <v>265</v>
      </c>
      <c r="S24" s="281" t="s">
        <v>266</v>
      </c>
      <c r="T24" s="229">
        <v>18000000</v>
      </c>
      <c r="U24" s="280">
        <v>88</v>
      </c>
      <c r="V24" s="281" t="s">
        <v>227</v>
      </c>
      <c r="W24" s="282">
        <v>295972</v>
      </c>
      <c r="X24" s="278">
        <v>294321</v>
      </c>
      <c r="Y24" s="278">
        <v>132302</v>
      </c>
      <c r="Z24" s="278">
        <v>43426</v>
      </c>
      <c r="AA24" s="278">
        <v>313940</v>
      </c>
      <c r="AB24" s="278">
        <v>100625</v>
      </c>
      <c r="AC24" s="278">
        <v>2145</v>
      </c>
      <c r="AD24" s="278">
        <v>12718</v>
      </c>
      <c r="AE24" s="278">
        <v>36</v>
      </c>
      <c r="AF24" s="283">
        <v>0</v>
      </c>
      <c r="AG24" s="283">
        <v>0</v>
      </c>
      <c r="AH24" s="283">
        <v>0</v>
      </c>
      <c r="AI24" s="278">
        <v>70</v>
      </c>
      <c r="AJ24" s="278">
        <v>21944</v>
      </c>
      <c r="AK24" s="278">
        <v>285</v>
      </c>
      <c r="AL24" s="278">
        <f>+W24+X24</f>
        <v>590293</v>
      </c>
      <c r="AM24" s="83">
        <v>44033</v>
      </c>
      <c r="AN24" s="83">
        <v>44195</v>
      </c>
      <c r="AO24" s="284" t="s">
        <v>225</v>
      </c>
      <c r="AQ24" s="3"/>
      <c r="AR24" s="3"/>
      <c r="AS24" s="3"/>
      <c r="AT24" s="3"/>
      <c r="AU24" s="3"/>
      <c r="AV24" s="3"/>
      <c r="AW24" s="3"/>
      <c r="AX24" s="3"/>
      <c r="AY24" s="3"/>
      <c r="AZ24" s="3"/>
      <c r="BA24" s="3"/>
      <c r="BB24" s="3"/>
      <c r="BC24" s="3"/>
      <c r="BD24" s="3"/>
      <c r="BE24" s="3"/>
      <c r="BF24" s="3"/>
      <c r="BG24" s="3"/>
      <c r="BH24" s="3"/>
    </row>
    <row r="25" spans="1:60" s="4" customFormat="1" ht="23.25" customHeight="1" x14ac:dyDescent="0.2">
      <c r="A25" s="285">
        <v>4</v>
      </c>
      <c r="B25" s="286" t="s">
        <v>267</v>
      </c>
      <c r="C25" s="287"/>
      <c r="D25" s="193"/>
      <c r="E25" s="194"/>
      <c r="F25" s="194"/>
      <c r="G25" s="194"/>
      <c r="H25" s="194"/>
      <c r="I25" s="193"/>
      <c r="J25" s="193"/>
      <c r="K25" s="195"/>
      <c r="L25" s="1534"/>
      <c r="M25" s="196"/>
      <c r="N25" s="288"/>
      <c r="O25" s="198"/>
      <c r="P25" s="289"/>
      <c r="Q25" s="288"/>
      <c r="R25" s="288" t="s">
        <v>268</v>
      </c>
      <c r="S25" s="288"/>
      <c r="T25" s="290"/>
      <c r="U25" s="291"/>
      <c r="V25" s="288"/>
      <c r="W25" s="292"/>
      <c r="X25" s="292"/>
      <c r="Y25" s="292"/>
      <c r="Z25" s="292"/>
      <c r="AA25" s="292"/>
      <c r="AB25" s="292"/>
      <c r="AC25" s="292"/>
      <c r="AD25" s="292"/>
      <c r="AE25" s="292"/>
      <c r="AF25" s="292"/>
      <c r="AG25" s="292"/>
      <c r="AH25" s="292"/>
      <c r="AI25" s="292"/>
      <c r="AJ25" s="292"/>
      <c r="AK25" s="292"/>
      <c r="AL25" s="292"/>
      <c r="AM25" s="293"/>
      <c r="AN25" s="293"/>
      <c r="AO25" s="294"/>
      <c r="AP25" s="3"/>
      <c r="AQ25" s="3"/>
      <c r="AR25" s="3"/>
      <c r="AS25" s="3"/>
      <c r="AT25" s="3"/>
      <c r="AU25" s="3"/>
      <c r="AV25" s="3"/>
      <c r="AW25" s="3"/>
      <c r="AX25" s="3"/>
      <c r="AY25" s="3"/>
      <c r="AZ25" s="3"/>
      <c r="BA25" s="3"/>
      <c r="BB25" s="3"/>
      <c r="BC25" s="3"/>
      <c r="BD25" s="3"/>
      <c r="BE25" s="3"/>
      <c r="BF25" s="3"/>
      <c r="BG25" s="3"/>
      <c r="BH25" s="3"/>
    </row>
    <row r="26" spans="1:60" s="4" customFormat="1" ht="30.75" customHeight="1" x14ac:dyDescent="0.2">
      <c r="A26" s="203"/>
      <c r="B26" s="204"/>
      <c r="C26" s="205"/>
      <c r="D26" s="259">
        <v>17</v>
      </c>
      <c r="E26" s="295" t="s">
        <v>235</v>
      </c>
      <c r="F26" s="210"/>
      <c r="G26" s="209"/>
      <c r="H26" s="209"/>
      <c r="I26" s="210"/>
      <c r="J26" s="210"/>
      <c r="K26" s="211"/>
      <c r="L26" s="1491"/>
      <c r="M26" s="262"/>
      <c r="N26" s="261"/>
      <c r="O26" s="215"/>
      <c r="P26" s="264"/>
      <c r="Q26" s="261"/>
      <c r="R26" s="261"/>
      <c r="S26" s="303"/>
      <c r="T26" s="304"/>
      <c r="U26" s="305"/>
      <c r="V26" s="303"/>
      <c r="W26" s="211"/>
      <c r="X26" s="211"/>
      <c r="Y26" s="211"/>
      <c r="Z26" s="211"/>
      <c r="AA26" s="211"/>
      <c r="AB26" s="211"/>
      <c r="AC26" s="211"/>
      <c r="AD26" s="211"/>
      <c r="AE26" s="211"/>
      <c r="AF26" s="211"/>
      <c r="AG26" s="211"/>
      <c r="AH26" s="211"/>
      <c r="AI26" s="211"/>
      <c r="AJ26" s="211"/>
      <c r="AK26" s="211"/>
      <c r="AL26" s="211"/>
      <c r="AM26" s="269"/>
      <c r="AN26" s="269"/>
      <c r="AO26" s="270"/>
      <c r="AP26" s="3"/>
      <c r="AQ26" s="3"/>
      <c r="AR26" s="3"/>
      <c r="AS26" s="3"/>
      <c r="AT26" s="3"/>
      <c r="AU26" s="3"/>
      <c r="AV26" s="3"/>
      <c r="AW26" s="3"/>
      <c r="AX26" s="3"/>
      <c r="AY26" s="3"/>
      <c r="AZ26" s="3"/>
      <c r="BA26" s="3"/>
      <c r="BB26" s="3"/>
      <c r="BC26" s="3"/>
      <c r="BD26" s="3"/>
      <c r="BE26" s="3"/>
      <c r="BF26" s="3"/>
      <c r="BG26" s="3"/>
      <c r="BH26" s="3"/>
    </row>
    <row r="27" spans="1:60" s="58" customFormat="1" ht="111.75" customHeight="1" x14ac:dyDescent="0.25">
      <c r="A27" s="306"/>
      <c r="B27" s="307"/>
      <c r="C27" s="308"/>
      <c r="D27" s="148"/>
      <c r="E27" s="309"/>
      <c r="F27" s="310"/>
      <c r="G27" s="2601">
        <v>2302003</v>
      </c>
      <c r="H27" s="2601" t="s">
        <v>269</v>
      </c>
      <c r="I27" s="2397" t="s">
        <v>270</v>
      </c>
      <c r="J27" s="2982" t="s">
        <v>271</v>
      </c>
      <c r="K27" s="3638">
        <v>100</v>
      </c>
      <c r="L27" s="2836" t="s">
        <v>272</v>
      </c>
      <c r="M27" s="3361" t="s">
        <v>273</v>
      </c>
      <c r="N27" s="2347" t="s">
        <v>274</v>
      </c>
      <c r="O27" s="3628">
        <f>(T27+T29)/P27</f>
        <v>0.74465751255933343</v>
      </c>
      <c r="P27" s="3631">
        <f>SUM(T27:T30)</f>
        <v>353721000</v>
      </c>
      <c r="Q27" s="2982" t="s">
        <v>275</v>
      </c>
      <c r="R27" s="2982" t="s">
        <v>276</v>
      </c>
      <c r="S27" s="2397" t="s">
        <v>277</v>
      </c>
      <c r="T27" s="3633">
        <v>146689132</v>
      </c>
      <c r="U27" s="3635">
        <v>20</v>
      </c>
      <c r="V27" s="2920" t="s">
        <v>278</v>
      </c>
      <c r="W27" s="3637">
        <v>295972</v>
      </c>
      <c r="X27" s="3562">
        <v>285580</v>
      </c>
      <c r="Y27" s="3562">
        <v>66084</v>
      </c>
      <c r="Z27" s="3562">
        <v>21618</v>
      </c>
      <c r="AA27" s="3562">
        <v>157087</v>
      </c>
      <c r="AB27" s="3562">
        <v>51183</v>
      </c>
      <c r="AC27" s="3562">
        <v>2145</v>
      </c>
      <c r="AD27" s="3562">
        <v>12718</v>
      </c>
      <c r="AE27" s="3562">
        <v>26</v>
      </c>
      <c r="AF27" s="3562">
        <v>37</v>
      </c>
      <c r="AG27" s="3562">
        <v>0</v>
      </c>
      <c r="AH27" s="3562">
        <v>0</v>
      </c>
      <c r="AI27" s="3562">
        <v>44350</v>
      </c>
      <c r="AJ27" s="3562">
        <v>21944</v>
      </c>
      <c r="AK27" s="3562">
        <v>578</v>
      </c>
      <c r="AL27" s="3562">
        <f>+W27+X27</f>
        <v>581552</v>
      </c>
      <c r="AM27" s="2598">
        <v>43832</v>
      </c>
      <c r="AN27" s="2941">
        <v>44195</v>
      </c>
      <c r="AO27" s="2284" t="s">
        <v>225</v>
      </c>
    </row>
    <row r="28" spans="1:60" s="4" customFormat="1" ht="107.25" customHeight="1" x14ac:dyDescent="0.25">
      <c r="A28" s="312"/>
      <c r="B28" s="160"/>
      <c r="C28" s="313"/>
      <c r="E28" s="314"/>
      <c r="F28" s="315"/>
      <c r="G28" s="2602"/>
      <c r="H28" s="2602"/>
      <c r="I28" s="2398"/>
      <c r="J28" s="2878"/>
      <c r="K28" s="3638"/>
      <c r="L28" s="2836"/>
      <c r="M28" s="3382"/>
      <c r="N28" s="2347"/>
      <c r="O28" s="3629"/>
      <c r="P28" s="3631"/>
      <c r="Q28" s="2878"/>
      <c r="R28" s="2878"/>
      <c r="S28" s="2819"/>
      <c r="T28" s="3634"/>
      <c r="U28" s="3636"/>
      <c r="V28" s="2983"/>
      <c r="W28" s="3563"/>
      <c r="X28" s="3563"/>
      <c r="Y28" s="3563"/>
      <c r="Z28" s="3563"/>
      <c r="AA28" s="3563"/>
      <c r="AB28" s="3563"/>
      <c r="AC28" s="3563"/>
      <c r="AD28" s="3563"/>
      <c r="AE28" s="3563"/>
      <c r="AF28" s="3563"/>
      <c r="AG28" s="3563"/>
      <c r="AH28" s="3563"/>
      <c r="AI28" s="3563"/>
      <c r="AJ28" s="3563"/>
      <c r="AK28" s="3563"/>
      <c r="AL28" s="3563"/>
      <c r="AM28" s="2598"/>
      <c r="AN28" s="2941"/>
      <c r="AO28" s="2284"/>
    </row>
    <row r="29" spans="1:60" s="4" customFormat="1" ht="84.75" customHeight="1" x14ac:dyDescent="0.25">
      <c r="A29" s="312"/>
      <c r="B29" s="160"/>
      <c r="C29" s="313"/>
      <c r="E29" s="314"/>
      <c r="F29" s="315"/>
      <c r="G29" s="2603"/>
      <c r="H29" s="2603"/>
      <c r="I29" s="2819"/>
      <c r="J29" s="2879"/>
      <c r="K29" s="3638"/>
      <c r="L29" s="2836"/>
      <c r="M29" s="3382"/>
      <c r="N29" s="2347"/>
      <c r="O29" s="3630"/>
      <c r="P29" s="3631"/>
      <c r="Q29" s="2878"/>
      <c r="R29" s="2878"/>
      <c r="S29" s="316" t="s">
        <v>279</v>
      </c>
      <c r="T29" s="229">
        <v>116711868</v>
      </c>
      <c r="U29" s="317">
        <v>88</v>
      </c>
      <c r="V29" s="281" t="s">
        <v>227</v>
      </c>
      <c r="W29" s="3563"/>
      <c r="X29" s="3563"/>
      <c r="Y29" s="3563"/>
      <c r="Z29" s="3563"/>
      <c r="AA29" s="3563"/>
      <c r="AB29" s="3563"/>
      <c r="AC29" s="3563"/>
      <c r="AD29" s="3563"/>
      <c r="AE29" s="3563"/>
      <c r="AF29" s="3563"/>
      <c r="AG29" s="3563"/>
      <c r="AH29" s="3563"/>
      <c r="AI29" s="3563"/>
      <c r="AJ29" s="3563"/>
      <c r="AK29" s="3563"/>
      <c r="AL29" s="3563"/>
      <c r="AM29" s="2598"/>
      <c r="AN29" s="2941"/>
      <c r="AO29" s="2284"/>
    </row>
    <row r="30" spans="1:60" s="4" customFormat="1" ht="120" customHeight="1" x14ac:dyDescent="0.2">
      <c r="A30" s="312"/>
      <c r="B30" s="165"/>
      <c r="C30" s="313"/>
      <c r="D30" s="247"/>
      <c r="E30" s="318"/>
      <c r="F30" s="135"/>
      <c r="G30" s="276">
        <v>2302066</v>
      </c>
      <c r="H30" s="276" t="s">
        <v>280</v>
      </c>
      <c r="I30" s="228" t="s">
        <v>281</v>
      </c>
      <c r="J30" s="319" t="s">
        <v>282</v>
      </c>
      <c r="K30" s="320">
        <v>30</v>
      </c>
      <c r="L30" s="2836"/>
      <c r="M30" s="3380"/>
      <c r="N30" s="3627"/>
      <c r="O30" s="321">
        <f>T30/P27</f>
        <v>0.25534248744066651</v>
      </c>
      <c r="P30" s="3632"/>
      <c r="Q30" s="2879"/>
      <c r="R30" s="2879"/>
      <c r="S30" s="322" t="s">
        <v>283</v>
      </c>
      <c r="T30" s="229">
        <v>90320000</v>
      </c>
      <c r="U30" s="317">
        <v>88</v>
      </c>
      <c r="V30" s="281" t="s">
        <v>227</v>
      </c>
      <c r="W30" s="3207"/>
      <c r="X30" s="3207"/>
      <c r="Y30" s="3207"/>
      <c r="Z30" s="3207"/>
      <c r="AA30" s="3207"/>
      <c r="AB30" s="3207"/>
      <c r="AC30" s="3207"/>
      <c r="AD30" s="3207"/>
      <c r="AE30" s="3207"/>
      <c r="AF30" s="3207"/>
      <c r="AG30" s="3207"/>
      <c r="AH30" s="3207"/>
      <c r="AI30" s="3207"/>
      <c r="AJ30" s="3207"/>
      <c r="AK30" s="3207"/>
      <c r="AL30" s="3207"/>
      <c r="AM30" s="2598"/>
      <c r="AN30" s="2941"/>
      <c r="AO30" s="2284"/>
    </row>
    <row r="31" spans="1:60" s="4" customFormat="1" ht="28.5" customHeight="1" x14ac:dyDescent="0.2">
      <c r="A31" s="323"/>
      <c r="B31" s="324"/>
      <c r="C31" s="325"/>
      <c r="D31" s="326"/>
      <c r="E31" s="326"/>
      <c r="F31" s="327"/>
      <c r="G31" s="299"/>
      <c r="H31" s="299"/>
      <c r="I31" s="81"/>
      <c r="J31" s="81"/>
      <c r="K31" s="328"/>
      <c r="L31" s="328"/>
      <c r="M31" s="329"/>
      <c r="N31" s="330"/>
      <c r="O31" s="331"/>
      <c r="P31" s="332">
        <f>SUM(P11:P30)</f>
        <v>632885000</v>
      </c>
      <c r="Q31" s="333"/>
      <c r="R31" s="333"/>
      <c r="S31" s="333"/>
      <c r="T31" s="334">
        <f>SUM(T11:T30)</f>
        <v>632885000</v>
      </c>
      <c r="U31" s="90"/>
      <c r="V31" s="335"/>
      <c r="W31" s="336"/>
      <c r="X31" s="336"/>
      <c r="Y31" s="336"/>
      <c r="Z31" s="336"/>
      <c r="AA31" s="336"/>
      <c r="AB31" s="336"/>
      <c r="AC31" s="336"/>
      <c r="AD31" s="336"/>
      <c r="AE31" s="336"/>
      <c r="AF31" s="336"/>
      <c r="AG31" s="336"/>
      <c r="AH31" s="336"/>
      <c r="AI31" s="336"/>
      <c r="AJ31" s="336"/>
      <c r="AK31" s="336"/>
      <c r="AL31" s="336"/>
      <c r="AM31" s="337"/>
      <c r="AN31" s="338"/>
      <c r="AO31" s="333"/>
    </row>
    <row r="32" spans="1:60" s="4" customFormat="1" x14ac:dyDescent="0.2">
      <c r="I32" s="302"/>
      <c r="J32" s="302"/>
      <c r="U32" s="170"/>
      <c r="W32" s="339"/>
      <c r="X32" s="339"/>
      <c r="Y32" s="339"/>
      <c r="Z32" s="339"/>
      <c r="AA32" s="339"/>
      <c r="AB32" s="339"/>
      <c r="AC32" s="339"/>
      <c r="AD32" s="339"/>
      <c r="AE32" s="339"/>
      <c r="AF32" s="339"/>
      <c r="AG32" s="339"/>
      <c r="AH32" s="339"/>
      <c r="AI32" s="339"/>
      <c r="AJ32" s="339"/>
      <c r="AK32" s="339"/>
      <c r="AL32" s="339"/>
    </row>
    <row r="33" spans="2:38" s="4" customFormat="1" x14ac:dyDescent="0.2">
      <c r="I33" s="302"/>
      <c r="J33" s="302"/>
      <c r="U33" s="170"/>
      <c r="W33" s="339"/>
      <c r="X33" s="339"/>
      <c r="Y33" s="339"/>
      <c r="Z33" s="339"/>
      <c r="AA33" s="339"/>
      <c r="AB33" s="339"/>
      <c r="AC33" s="339"/>
      <c r="AD33" s="339"/>
      <c r="AE33" s="339"/>
      <c r="AF33" s="339"/>
      <c r="AG33" s="339"/>
      <c r="AH33" s="339"/>
      <c r="AI33" s="339"/>
      <c r="AJ33" s="339"/>
      <c r="AK33" s="339"/>
      <c r="AL33" s="339"/>
    </row>
    <row r="34" spans="2:38" s="4" customFormat="1" x14ac:dyDescent="0.2">
      <c r="I34" s="302"/>
      <c r="J34" s="302"/>
      <c r="U34" s="170"/>
      <c r="W34" s="339"/>
      <c r="X34" s="339"/>
      <c r="Y34" s="339"/>
      <c r="Z34" s="339"/>
      <c r="AA34" s="339"/>
      <c r="AB34" s="339"/>
      <c r="AC34" s="339"/>
      <c r="AD34" s="339"/>
      <c r="AE34" s="339"/>
      <c r="AF34" s="339"/>
      <c r="AG34" s="339"/>
      <c r="AH34" s="339"/>
      <c r="AI34" s="339"/>
      <c r="AJ34" s="339"/>
      <c r="AK34" s="339"/>
      <c r="AL34" s="339"/>
    </row>
    <row r="35" spans="2:38" s="4" customFormat="1" x14ac:dyDescent="0.2">
      <c r="B35" s="340"/>
      <c r="C35" s="341"/>
      <c r="D35" s="247"/>
      <c r="E35" s="247"/>
      <c r="F35" s="247"/>
      <c r="G35" s="247"/>
      <c r="I35" s="302"/>
      <c r="J35" s="302"/>
      <c r="S35" s="342"/>
      <c r="U35" s="170"/>
      <c r="W35" s="339"/>
      <c r="X35" s="339"/>
      <c r="Y35" s="339"/>
      <c r="Z35" s="339"/>
      <c r="AA35" s="339"/>
      <c r="AB35" s="339"/>
      <c r="AC35" s="339"/>
      <c r="AD35" s="339"/>
      <c r="AE35" s="339"/>
      <c r="AF35" s="339"/>
      <c r="AG35" s="339"/>
      <c r="AH35" s="339"/>
      <c r="AI35" s="339"/>
      <c r="AJ35" s="339"/>
      <c r="AK35" s="339"/>
      <c r="AL35" s="339"/>
    </row>
    <row r="36" spans="2:38" s="4" customFormat="1" ht="15.75" x14ac:dyDescent="0.25">
      <c r="B36" s="160" t="s">
        <v>284</v>
      </c>
      <c r="C36" s="161"/>
      <c r="I36" s="302"/>
      <c r="J36" s="302"/>
      <c r="U36" s="170"/>
      <c r="W36" s="339"/>
      <c r="X36" s="339"/>
      <c r="Y36" s="339"/>
      <c r="Z36" s="339"/>
      <c r="AA36" s="339"/>
      <c r="AB36" s="339"/>
      <c r="AC36" s="339"/>
      <c r="AD36" s="339"/>
      <c r="AE36" s="339"/>
      <c r="AF36" s="339"/>
      <c r="AG36" s="339"/>
      <c r="AH36" s="339"/>
      <c r="AI36" s="339"/>
      <c r="AJ36" s="339"/>
      <c r="AK36" s="339"/>
      <c r="AL36" s="339"/>
    </row>
    <row r="37" spans="2:38" s="4" customFormat="1" ht="15.75" x14ac:dyDescent="0.25">
      <c r="B37" s="160" t="s">
        <v>285</v>
      </c>
      <c r="C37" s="161"/>
      <c r="I37" s="302"/>
      <c r="J37" s="302"/>
      <c r="U37" s="170"/>
      <c r="W37" s="339"/>
      <c r="X37" s="339"/>
      <c r="Y37" s="339"/>
      <c r="Z37" s="339"/>
      <c r="AA37" s="339"/>
      <c r="AB37" s="339"/>
      <c r="AC37" s="339"/>
      <c r="AD37" s="339"/>
      <c r="AE37" s="339"/>
      <c r="AF37" s="339"/>
      <c r="AG37" s="339"/>
      <c r="AH37" s="339"/>
      <c r="AI37" s="339"/>
      <c r="AJ37" s="339"/>
      <c r="AK37" s="339"/>
      <c r="AL37" s="339"/>
    </row>
    <row r="38" spans="2:38" s="4" customFormat="1" x14ac:dyDescent="0.2">
      <c r="B38" s="165"/>
      <c r="C38" s="161"/>
      <c r="I38" s="302"/>
      <c r="J38" s="302"/>
      <c r="U38" s="170"/>
      <c r="W38" s="339"/>
      <c r="X38" s="339"/>
      <c r="Y38" s="339"/>
      <c r="Z38" s="339"/>
      <c r="AA38" s="339"/>
      <c r="AB38" s="339"/>
      <c r="AC38" s="339"/>
      <c r="AD38" s="339"/>
      <c r="AE38" s="339"/>
      <c r="AF38" s="339"/>
      <c r="AG38" s="339"/>
      <c r="AH38" s="339"/>
      <c r="AI38" s="339"/>
      <c r="AJ38" s="339"/>
      <c r="AK38" s="339"/>
      <c r="AL38" s="339"/>
    </row>
    <row r="39" spans="2:38" s="4" customFormat="1" x14ac:dyDescent="0.2">
      <c r="I39" s="302"/>
      <c r="J39" s="302"/>
      <c r="U39" s="170"/>
      <c r="W39" s="339"/>
      <c r="X39" s="339"/>
      <c r="Y39" s="339"/>
      <c r="Z39" s="339"/>
      <c r="AA39" s="339"/>
      <c r="AB39" s="339"/>
      <c r="AC39" s="339"/>
      <c r="AD39" s="339"/>
      <c r="AE39" s="339"/>
      <c r="AF39" s="339"/>
      <c r="AG39" s="339"/>
      <c r="AH39" s="339"/>
      <c r="AI39" s="339"/>
      <c r="AJ39" s="339"/>
      <c r="AK39" s="339"/>
      <c r="AL39" s="339"/>
    </row>
    <row r="44" spans="2:38" x14ac:dyDescent="0.25">
      <c r="T44" s="344"/>
    </row>
  </sheetData>
  <sheetProtection password="A60F" sheet="1" objects="1" scenarios="1"/>
  <mergeCells count="99">
    <mergeCell ref="A1:AM4"/>
    <mergeCell ref="A5:K6"/>
    <mergeCell ref="L5:AO5"/>
    <mergeCell ref="W6:AL6"/>
    <mergeCell ref="A7:A8"/>
    <mergeCell ref="B7:C8"/>
    <mergeCell ref="D7:D8"/>
    <mergeCell ref="E7:F8"/>
    <mergeCell ref="G7:G8"/>
    <mergeCell ref="H7:H8"/>
    <mergeCell ref="Q7:Q8"/>
    <mergeCell ref="R7:R8"/>
    <mergeCell ref="S7:S8"/>
    <mergeCell ref="U7:U8"/>
    <mergeCell ref="I7:I8"/>
    <mergeCell ref="J7:J8"/>
    <mergeCell ref="K7:K8"/>
    <mergeCell ref="L7:L8"/>
    <mergeCell ref="M7:M8"/>
    <mergeCell ref="N7:N8"/>
    <mergeCell ref="AO7:AO8"/>
    <mergeCell ref="AC7:AH7"/>
    <mergeCell ref="AI7:AK7"/>
    <mergeCell ref="AL7:AL8"/>
    <mergeCell ref="AM7:AM8"/>
    <mergeCell ref="AN7:AN8"/>
    <mergeCell ref="G11:G16"/>
    <mergeCell ref="H11:H16"/>
    <mergeCell ref="I11:I16"/>
    <mergeCell ref="J11:J16"/>
    <mergeCell ref="K11:K16"/>
    <mergeCell ref="L11:L17"/>
    <mergeCell ref="M11:M17"/>
    <mergeCell ref="V7:V8"/>
    <mergeCell ref="W7:X7"/>
    <mergeCell ref="Y7:AB7"/>
    <mergeCell ref="O7:O8"/>
    <mergeCell ref="P7:P8"/>
    <mergeCell ref="W11:W17"/>
    <mergeCell ref="S12:S13"/>
    <mergeCell ref="S15:S16"/>
    <mergeCell ref="AN11:AN17"/>
    <mergeCell ref="AO11:AO17"/>
    <mergeCell ref="AD11:AD17"/>
    <mergeCell ref="AE11:AE17"/>
    <mergeCell ref="AF11:AF17"/>
    <mergeCell ref="AG11:AG17"/>
    <mergeCell ref="AH11:AH17"/>
    <mergeCell ref="AI11:AI17"/>
    <mergeCell ref="L27:L30"/>
    <mergeCell ref="AJ11:AJ17"/>
    <mergeCell ref="AK11:AK17"/>
    <mergeCell ref="AL11:AL17"/>
    <mergeCell ref="AM11:AM17"/>
    <mergeCell ref="X11:X17"/>
    <mergeCell ref="Y11:Y17"/>
    <mergeCell ref="Z11:Z17"/>
    <mergeCell ref="AA11:AA17"/>
    <mergeCell ref="AB11:AB17"/>
    <mergeCell ref="AC11:AC17"/>
    <mergeCell ref="N11:N17"/>
    <mergeCell ref="O11:O16"/>
    <mergeCell ref="P11:P17"/>
    <mergeCell ref="Q11:Q17"/>
    <mergeCell ref="R11:R16"/>
    <mergeCell ref="G27:G29"/>
    <mergeCell ref="H27:H29"/>
    <mergeCell ref="I27:I29"/>
    <mergeCell ref="J27:J29"/>
    <mergeCell ref="K27:K29"/>
    <mergeCell ref="X27:X30"/>
    <mergeCell ref="M27:M30"/>
    <mergeCell ref="N27:N30"/>
    <mergeCell ref="O27:O29"/>
    <mergeCell ref="P27:P30"/>
    <mergeCell ref="Q27:Q30"/>
    <mergeCell ref="R27:R30"/>
    <mergeCell ref="S27:S28"/>
    <mergeCell ref="T27:T28"/>
    <mergeCell ref="U27:U28"/>
    <mergeCell ref="V27:V28"/>
    <mergeCell ref="W27:W30"/>
    <mergeCell ref="AJ27:AJ30"/>
    <mergeCell ref="Y27:Y30"/>
    <mergeCell ref="Z27:Z30"/>
    <mergeCell ref="AA27:AA30"/>
    <mergeCell ref="AB27:AB30"/>
    <mergeCell ref="AC27:AC30"/>
    <mergeCell ref="AD27:AD30"/>
    <mergeCell ref="AE27:AE30"/>
    <mergeCell ref="AF27:AF30"/>
    <mergeCell ref="AG27:AG30"/>
    <mergeCell ref="AH27:AH30"/>
    <mergeCell ref="AI27:AI30"/>
    <mergeCell ref="AK27:AK30"/>
    <mergeCell ref="AL27:AL30"/>
    <mergeCell ref="AM27:AM30"/>
    <mergeCell ref="AN27:AN30"/>
    <mergeCell ref="AO27:AO3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A77"/>
  <sheetViews>
    <sheetView showGridLines="0" topLeftCell="M1" zoomScale="55" zoomScaleNormal="55" zoomScalePageLayoutView="40" workbookViewId="0">
      <selection activeCell="N65" sqref="N65:N68"/>
    </sheetView>
  </sheetViews>
  <sheetFormatPr baseColWidth="10" defaultRowHeight="15" x14ac:dyDescent="0.25"/>
  <cols>
    <col min="1" max="1" width="16.85546875" customWidth="1"/>
    <col min="4" max="4" width="16.85546875" customWidth="1"/>
    <col min="7" max="7" width="14.7109375" customWidth="1"/>
    <col min="8" max="8" width="22.140625" customWidth="1"/>
    <col min="9" max="9" width="39.28515625" customWidth="1"/>
    <col min="10" max="10" width="30.5703125" customWidth="1"/>
    <col min="11" max="12" width="16" customWidth="1"/>
    <col min="13" max="13" width="29.28515625" customWidth="1"/>
    <col min="14" max="14" width="24.28515625" customWidth="1"/>
    <col min="15" max="15" width="31" customWidth="1"/>
    <col min="16" max="16" width="24.28515625" customWidth="1"/>
    <col min="17" max="17" width="30.28515625" customWidth="1"/>
    <col min="18" max="18" width="39" style="1276" customWidth="1"/>
    <col min="19" max="19" width="32.42578125" customWidth="1"/>
    <col min="20" max="20" width="37.85546875" style="1276" customWidth="1"/>
    <col min="21" max="21" width="32" customWidth="1"/>
    <col min="22" max="22" width="24.28515625" customWidth="1"/>
    <col min="23" max="23" width="38.28515625" style="345" customWidth="1"/>
    <col min="40" max="41" width="17.85546875" customWidth="1"/>
    <col min="42" max="42" width="25.28515625" customWidth="1"/>
  </cols>
  <sheetData>
    <row r="1" spans="1:50" ht="18" customHeight="1" x14ac:dyDescent="0.25">
      <c r="A1" s="2145" t="s">
        <v>1035</v>
      </c>
      <c r="B1" s="2146"/>
      <c r="C1" s="2146"/>
      <c r="D1" s="2146"/>
      <c r="E1" s="2146"/>
      <c r="F1" s="2146"/>
      <c r="G1" s="2146"/>
      <c r="H1" s="2146"/>
      <c r="I1" s="2146"/>
      <c r="J1" s="2146"/>
      <c r="K1" s="2146"/>
      <c r="L1" s="2146"/>
      <c r="M1" s="2146"/>
      <c r="N1" s="2146"/>
      <c r="O1" s="2146"/>
      <c r="P1" s="2146"/>
      <c r="Q1" s="2146"/>
      <c r="R1" s="2146"/>
      <c r="S1" s="2146"/>
      <c r="T1" s="2146"/>
      <c r="U1" s="2146"/>
      <c r="V1" s="2146"/>
      <c r="W1" s="2146"/>
      <c r="X1" s="2146"/>
      <c r="Y1" s="2146"/>
      <c r="Z1" s="2146"/>
      <c r="AA1" s="2146"/>
      <c r="AB1" s="2146"/>
      <c r="AC1" s="2146"/>
      <c r="AD1" s="2146"/>
      <c r="AE1" s="2146"/>
      <c r="AF1" s="2146"/>
      <c r="AG1" s="2146"/>
      <c r="AH1" s="2146"/>
      <c r="AI1" s="2146"/>
      <c r="AJ1" s="2146"/>
      <c r="AK1" s="2146"/>
      <c r="AL1" s="2146"/>
      <c r="AM1" s="2146"/>
      <c r="AN1" s="2146"/>
      <c r="AP1" s="459" t="s">
        <v>210</v>
      </c>
      <c r="AQ1" s="180"/>
      <c r="AR1" s="180"/>
      <c r="AS1" s="180"/>
      <c r="AT1" s="180"/>
      <c r="AU1" s="180"/>
      <c r="AV1" s="180"/>
      <c r="AW1" s="180"/>
      <c r="AX1" s="180"/>
    </row>
    <row r="2" spans="1:50" ht="15" customHeight="1" x14ac:dyDescent="0.25">
      <c r="A2" s="2147"/>
      <c r="B2" s="2148"/>
      <c r="C2" s="2148"/>
      <c r="D2" s="2148"/>
      <c r="E2" s="2148"/>
      <c r="F2" s="2148"/>
      <c r="G2" s="2148"/>
      <c r="H2" s="2148"/>
      <c r="I2" s="2148"/>
      <c r="J2" s="2148"/>
      <c r="K2" s="2148"/>
      <c r="L2" s="2148"/>
      <c r="M2" s="2148"/>
      <c r="N2" s="2148"/>
      <c r="O2" s="2148"/>
      <c r="P2" s="2148"/>
      <c r="Q2" s="2148"/>
      <c r="R2" s="2148"/>
      <c r="S2" s="2148"/>
      <c r="T2" s="2148"/>
      <c r="U2" s="2148"/>
      <c r="V2" s="2148"/>
      <c r="W2" s="2148"/>
      <c r="X2" s="2148"/>
      <c r="Y2" s="2148"/>
      <c r="Z2" s="2148"/>
      <c r="AA2" s="2148"/>
      <c r="AB2" s="2148"/>
      <c r="AC2" s="2148"/>
      <c r="AD2" s="2148"/>
      <c r="AE2" s="2148"/>
      <c r="AF2" s="2148"/>
      <c r="AG2" s="2148"/>
      <c r="AH2" s="2148"/>
      <c r="AI2" s="2148"/>
      <c r="AJ2" s="2148"/>
      <c r="AK2" s="2148"/>
      <c r="AL2" s="2148"/>
      <c r="AM2" s="2148"/>
      <c r="AN2" s="2148"/>
      <c r="AP2" s="460">
        <v>6</v>
      </c>
      <c r="AQ2" s="180"/>
      <c r="AR2" s="180"/>
      <c r="AS2" s="180"/>
      <c r="AT2" s="180"/>
      <c r="AU2" s="180"/>
      <c r="AV2" s="180"/>
      <c r="AW2" s="180"/>
      <c r="AX2" s="180"/>
    </row>
    <row r="3" spans="1:50" ht="15" customHeight="1" x14ac:dyDescent="0.25">
      <c r="A3" s="2147"/>
      <c r="B3" s="2148"/>
      <c r="C3" s="2148"/>
      <c r="D3" s="2148"/>
      <c r="E3" s="2148"/>
      <c r="F3" s="2148"/>
      <c r="G3" s="2148"/>
      <c r="H3" s="2148"/>
      <c r="I3" s="2148"/>
      <c r="J3" s="2148"/>
      <c r="K3" s="2148"/>
      <c r="L3" s="2148"/>
      <c r="M3" s="2148"/>
      <c r="N3" s="2148"/>
      <c r="O3" s="2148"/>
      <c r="P3" s="2148"/>
      <c r="Q3" s="2148"/>
      <c r="R3" s="2148"/>
      <c r="S3" s="2148"/>
      <c r="T3" s="2148"/>
      <c r="U3" s="2148"/>
      <c r="V3" s="2148"/>
      <c r="W3" s="2148"/>
      <c r="X3" s="2148"/>
      <c r="Y3" s="2148"/>
      <c r="Z3" s="2148"/>
      <c r="AA3" s="2148"/>
      <c r="AB3" s="2148"/>
      <c r="AC3" s="2148"/>
      <c r="AD3" s="2148"/>
      <c r="AE3" s="2148"/>
      <c r="AF3" s="2148"/>
      <c r="AG3" s="2148"/>
      <c r="AH3" s="2148"/>
      <c r="AI3" s="2148"/>
      <c r="AJ3" s="2148"/>
      <c r="AK3" s="2148"/>
      <c r="AL3" s="2148"/>
      <c r="AM3" s="2148"/>
      <c r="AN3" s="2148"/>
      <c r="AP3" s="461" t="s">
        <v>6</v>
      </c>
      <c r="AQ3" s="180"/>
      <c r="AR3" s="180"/>
      <c r="AS3" s="180"/>
      <c r="AT3" s="180"/>
      <c r="AU3" s="180"/>
      <c r="AV3" s="180"/>
      <c r="AW3" s="180"/>
      <c r="AX3" s="180"/>
    </row>
    <row r="4" spans="1:50" ht="15" customHeight="1" x14ac:dyDescent="0.25">
      <c r="A4" s="2149"/>
      <c r="B4" s="2150"/>
      <c r="C4" s="2150"/>
      <c r="D4" s="2150"/>
      <c r="E4" s="2150"/>
      <c r="F4" s="2150"/>
      <c r="G4" s="2150"/>
      <c r="H4" s="2150"/>
      <c r="I4" s="2150"/>
      <c r="J4" s="2150"/>
      <c r="K4" s="2150"/>
      <c r="L4" s="2150"/>
      <c r="M4" s="2150"/>
      <c r="N4" s="2150"/>
      <c r="O4" s="2150"/>
      <c r="P4" s="2150"/>
      <c r="Q4" s="2150"/>
      <c r="R4" s="2150"/>
      <c r="S4" s="2150"/>
      <c r="T4" s="2150"/>
      <c r="U4" s="2150"/>
      <c r="V4" s="2150"/>
      <c r="W4" s="2150"/>
      <c r="X4" s="2150"/>
      <c r="Y4" s="2150"/>
      <c r="Z4" s="2150"/>
      <c r="AA4" s="2150"/>
      <c r="AB4" s="2150"/>
      <c r="AC4" s="2150"/>
      <c r="AD4" s="2150"/>
      <c r="AE4" s="2150"/>
      <c r="AF4" s="2150"/>
      <c r="AG4" s="2150"/>
      <c r="AH4" s="2150"/>
      <c r="AI4" s="2150"/>
      <c r="AJ4" s="2150"/>
      <c r="AK4" s="2150"/>
      <c r="AL4" s="2150"/>
      <c r="AM4" s="2150"/>
      <c r="AN4" s="2150"/>
      <c r="AO4" s="462"/>
      <c r="AP4" s="635" t="s">
        <v>287</v>
      </c>
      <c r="AQ4" s="180"/>
      <c r="AR4" s="180"/>
      <c r="AS4" s="180"/>
      <c r="AT4" s="180"/>
      <c r="AU4" s="180"/>
      <c r="AV4" s="180"/>
      <c r="AW4" s="180"/>
      <c r="AX4" s="180"/>
    </row>
    <row r="5" spans="1:50" ht="15.75" customHeight="1" x14ac:dyDescent="0.25">
      <c r="A5" s="2151" t="s">
        <v>288</v>
      </c>
      <c r="B5" s="2152"/>
      <c r="C5" s="2152"/>
      <c r="D5" s="2152"/>
      <c r="E5" s="2152"/>
      <c r="F5" s="2152"/>
      <c r="G5" s="2152"/>
      <c r="H5" s="2152"/>
      <c r="I5" s="2152"/>
      <c r="J5" s="2152"/>
      <c r="K5" s="2152"/>
      <c r="L5" s="765"/>
      <c r="M5" s="2380" t="s">
        <v>10</v>
      </c>
      <c r="N5" s="2380"/>
      <c r="O5" s="2380"/>
      <c r="P5" s="2380"/>
      <c r="Q5" s="2380"/>
      <c r="R5" s="2380"/>
      <c r="S5" s="2380"/>
      <c r="T5" s="2380"/>
      <c r="U5" s="2380"/>
      <c r="V5" s="2380"/>
      <c r="W5" s="2380"/>
      <c r="X5" s="2380"/>
      <c r="Y5" s="2380"/>
      <c r="Z5" s="2380"/>
      <c r="AA5" s="2380"/>
      <c r="AB5" s="2380"/>
      <c r="AC5" s="2380"/>
      <c r="AD5" s="2380"/>
      <c r="AE5" s="2380"/>
      <c r="AF5" s="2380"/>
      <c r="AG5" s="2380"/>
      <c r="AH5" s="2380"/>
      <c r="AI5" s="2380"/>
      <c r="AJ5" s="2380"/>
      <c r="AK5" s="2380"/>
      <c r="AL5" s="2380"/>
      <c r="AM5" s="2380"/>
      <c r="AN5" s="2380"/>
      <c r="AO5" s="2380"/>
      <c r="AP5" s="2381"/>
      <c r="AQ5" s="3"/>
      <c r="AR5" s="3"/>
      <c r="AS5" s="3"/>
      <c r="AT5" s="3"/>
      <c r="AU5" s="3"/>
      <c r="AV5" s="3"/>
      <c r="AW5" s="3"/>
      <c r="AX5" s="3"/>
    </row>
    <row r="6" spans="1:50" ht="15.75" customHeight="1" x14ac:dyDescent="0.25">
      <c r="A6" s="2153"/>
      <c r="B6" s="2154"/>
      <c r="C6" s="2154"/>
      <c r="D6" s="2154"/>
      <c r="E6" s="2154"/>
      <c r="F6" s="2154"/>
      <c r="G6" s="2154"/>
      <c r="H6" s="2154"/>
      <c r="I6" s="2154"/>
      <c r="J6" s="2154"/>
      <c r="K6" s="2154"/>
      <c r="L6" s="766"/>
      <c r="M6" s="818"/>
      <c r="N6" s="636"/>
      <c r="O6" s="370"/>
      <c r="P6" s="766"/>
      <c r="Q6" s="371"/>
      <c r="R6" s="370"/>
      <c r="S6" s="766"/>
      <c r="T6" s="370"/>
      <c r="U6" s="766"/>
      <c r="V6" s="766"/>
      <c r="W6" s="766"/>
      <c r="X6" s="2382" t="s">
        <v>11</v>
      </c>
      <c r="Y6" s="2154"/>
      <c r="Z6" s="2154"/>
      <c r="AA6" s="2154"/>
      <c r="AB6" s="2154"/>
      <c r="AC6" s="2154"/>
      <c r="AD6" s="2154"/>
      <c r="AE6" s="2154"/>
      <c r="AF6" s="2154"/>
      <c r="AG6" s="2154"/>
      <c r="AH6" s="2154"/>
      <c r="AI6" s="2154"/>
      <c r="AJ6" s="2154"/>
      <c r="AK6" s="2154"/>
      <c r="AL6" s="2154"/>
      <c r="AM6" s="372"/>
      <c r="AN6" s="373"/>
      <c r="AO6" s="373"/>
      <c r="AP6" s="637"/>
      <c r="AQ6" s="3"/>
      <c r="AR6" s="3"/>
      <c r="AS6" s="3"/>
      <c r="AT6" s="3"/>
      <c r="AU6" s="3"/>
      <c r="AV6" s="3"/>
      <c r="AW6" s="3"/>
      <c r="AX6" s="3"/>
    </row>
    <row r="7" spans="1:50" ht="29.25" customHeight="1" x14ac:dyDescent="0.25">
      <c r="A7" s="3650" t="s">
        <v>12</v>
      </c>
      <c r="B7" s="3339" t="s">
        <v>13</v>
      </c>
      <c r="C7" s="3339"/>
      <c r="D7" s="3339" t="s">
        <v>12</v>
      </c>
      <c r="E7" s="3339" t="s">
        <v>14</v>
      </c>
      <c r="F7" s="3339"/>
      <c r="G7" s="3339" t="s">
        <v>12</v>
      </c>
      <c r="H7" s="2143" t="s">
        <v>562</v>
      </c>
      <c r="I7" s="3339" t="s">
        <v>15</v>
      </c>
      <c r="J7" s="3339" t="s">
        <v>16</v>
      </c>
      <c r="K7" s="3339" t="s">
        <v>17</v>
      </c>
      <c r="L7" s="3339"/>
      <c r="M7" s="3650" t="s">
        <v>18</v>
      </c>
      <c r="N7" s="3339" t="s">
        <v>19</v>
      </c>
      <c r="O7" s="3339" t="s">
        <v>10</v>
      </c>
      <c r="P7" s="3667" t="s">
        <v>20</v>
      </c>
      <c r="Q7" s="3646" t="s">
        <v>21</v>
      </c>
      <c r="R7" s="3339" t="s">
        <v>22</v>
      </c>
      <c r="S7" s="3339" t="s">
        <v>23</v>
      </c>
      <c r="T7" s="3339" t="s">
        <v>564</v>
      </c>
      <c r="U7" s="2469" t="s">
        <v>21</v>
      </c>
      <c r="V7" s="3650" t="s">
        <v>12</v>
      </c>
      <c r="W7" s="3339" t="s">
        <v>25</v>
      </c>
      <c r="X7" s="2185" t="s">
        <v>26</v>
      </c>
      <c r="Y7" s="2186"/>
      <c r="Z7" s="2187" t="s">
        <v>27</v>
      </c>
      <c r="AA7" s="2188"/>
      <c r="AB7" s="2188"/>
      <c r="AC7" s="2188"/>
      <c r="AD7" s="2242" t="s">
        <v>28</v>
      </c>
      <c r="AE7" s="2243"/>
      <c r="AF7" s="2243"/>
      <c r="AG7" s="2243"/>
      <c r="AH7" s="2243"/>
      <c r="AI7" s="2243"/>
      <c r="AJ7" s="2187" t="s">
        <v>29</v>
      </c>
      <c r="AK7" s="2188"/>
      <c r="AL7" s="2188"/>
      <c r="AM7" s="3651" t="s">
        <v>30</v>
      </c>
      <c r="AN7" s="3341" t="s">
        <v>31</v>
      </c>
      <c r="AO7" s="3341" t="s">
        <v>32</v>
      </c>
      <c r="AP7" s="3343" t="s">
        <v>33</v>
      </c>
      <c r="AQ7" s="3"/>
      <c r="AR7" s="3"/>
      <c r="AS7" s="3"/>
      <c r="AT7" s="3"/>
      <c r="AU7" s="3"/>
      <c r="AV7" s="3"/>
      <c r="AW7" s="3"/>
      <c r="AX7" s="3"/>
    </row>
    <row r="8" spans="1:50" ht="75" customHeight="1" x14ac:dyDescent="0.25">
      <c r="A8" s="3650"/>
      <c r="B8" s="3339"/>
      <c r="C8" s="3339"/>
      <c r="D8" s="3339"/>
      <c r="E8" s="3339"/>
      <c r="F8" s="3339"/>
      <c r="G8" s="3339"/>
      <c r="H8" s="2449"/>
      <c r="I8" s="3339"/>
      <c r="J8" s="3339"/>
      <c r="K8" s="811" t="s">
        <v>325</v>
      </c>
      <c r="L8" s="811" t="s">
        <v>1036</v>
      </c>
      <c r="M8" s="3650"/>
      <c r="N8" s="3339"/>
      <c r="O8" s="3339"/>
      <c r="P8" s="3667"/>
      <c r="Q8" s="3646"/>
      <c r="R8" s="3339"/>
      <c r="S8" s="3339"/>
      <c r="T8" s="3339"/>
      <c r="U8" s="2471"/>
      <c r="V8" s="3650"/>
      <c r="W8" s="3339"/>
      <c r="X8" s="3656" t="s">
        <v>35</v>
      </c>
      <c r="Y8" s="3658" t="s">
        <v>36</v>
      </c>
      <c r="Z8" s="3656" t="s">
        <v>37</v>
      </c>
      <c r="AA8" s="3656" t="s">
        <v>38</v>
      </c>
      <c r="AB8" s="3656" t="s">
        <v>213</v>
      </c>
      <c r="AC8" s="3656" t="s">
        <v>40</v>
      </c>
      <c r="AD8" s="3656" t="s">
        <v>41</v>
      </c>
      <c r="AE8" s="3656" t="s">
        <v>42</v>
      </c>
      <c r="AF8" s="3656" t="s">
        <v>43</v>
      </c>
      <c r="AG8" s="3656" t="s">
        <v>44</v>
      </c>
      <c r="AH8" s="3656" t="s">
        <v>45</v>
      </c>
      <c r="AI8" s="3656" t="s">
        <v>46</v>
      </c>
      <c r="AJ8" s="3656" t="s">
        <v>47</v>
      </c>
      <c r="AK8" s="3656" t="s">
        <v>48</v>
      </c>
      <c r="AL8" s="3656" t="s">
        <v>49</v>
      </c>
      <c r="AM8" s="3652"/>
      <c r="AN8" s="3342"/>
      <c r="AO8" s="3342"/>
      <c r="AP8" s="3344"/>
      <c r="AQ8" s="3"/>
      <c r="AR8" s="3"/>
      <c r="AS8" s="3"/>
      <c r="AT8" s="3"/>
      <c r="AU8" s="3"/>
      <c r="AV8" s="3"/>
      <c r="AW8" s="3"/>
      <c r="AX8" s="3"/>
    </row>
    <row r="9" spans="1:50" ht="30.75" customHeight="1" x14ac:dyDescent="0.25">
      <c r="A9" s="1190"/>
      <c r="B9" s="15"/>
      <c r="C9" s="15"/>
      <c r="D9" s="15"/>
      <c r="E9" s="1191"/>
      <c r="F9" s="1191"/>
      <c r="G9" s="15"/>
      <c r="H9" s="1191"/>
      <c r="I9" s="15"/>
      <c r="J9" s="15"/>
      <c r="K9" s="15"/>
      <c r="L9" s="15"/>
      <c r="M9" s="1190"/>
      <c r="N9" s="15"/>
      <c r="O9" s="15"/>
      <c r="P9" s="1192"/>
      <c r="Q9" s="1193"/>
      <c r="R9" s="1194"/>
      <c r="S9" s="15"/>
      <c r="T9" s="1194"/>
      <c r="U9" s="1195"/>
      <c r="V9" s="1196"/>
      <c r="W9" s="15"/>
      <c r="X9" s="3657"/>
      <c r="Y9" s="3659"/>
      <c r="Z9" s="3657"/>
      <c r="AA9" s="3657"/>
      <c r="AB9" s="3657"/>
      <c r="AC9" s="3657"/>
      <c r="AD9" s="3657"/>
      <c r="AE9" s="3657"/>
      <c r="AF9" s="3657"/>
      <c r="AG9" s="3657"/>
      <c r="AH9" s="3657"/>
      <c r="AI9" s="3657"/>
      <c r="AJ9" s="3657"/>
      <c r="AK9" s="3657"/>
      <c r="AL9" s="3657"/>
      <c r="AM9" s="3653"/>
      <c r="AN9" s="3654"/>
      <c r="AO9" s="3654"/>
      <c r="AP9" s="3655"/>
      <c r="AQ9" s="3"/>
      <c r="AR9" s="3"/>
      <c r="AS9" s="3"/>
      <c r="AT9" s="3"/>
      <c r="AU9" s="3"/>
      <c r="AV9" s="3"/>
      <c r="AW9" s="3"/>
      <c r="AX9" s="3"/>
    </row>
    <row r="10" spans="1:50" ht="15.75" customHeight="1" x14ac:dyDescent="0.25">
      <c r="A10" s="639">
        <v>1</v>
      </c>
      <c r="B10" s="191" t="s">
        <v>641</v>
      </c>
      <c r="C10" s="640"/>
      <c r="D10" s="193"/>
      <c r="E10" s="641"/>
      <c r="F10" s="641"/>
      <c r="G10" s="641"/>
      <c r="H10" s="641"/>
      <c r="I10" s="642"/>
      <c r="J10" s="643"/>
      <c r="K10" s="641"/>
      <c r="L10" s="641"/>
      <c r="M10" s="1197"/>
      <c r="N10" s="641"/>
      <c r="O10" s="643"/>
      <c r="P10" s="645"/>
      <c r="Q10" s="641"/>
      <c r="R10" s="644"/>
      <c r="S10" s="644"/>
      <c r="T10" s="644"/>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4"/>
      <c r="AR10" s="4"/>
      <c r="AS10" s="4"/>
      <c r="AT10" s="4"/>
      <c r="AU10" s="4"/>
      <c r="AV10" s="4"/>
      <c r="AW10" s="4"/>
      <c r="AX10" s="4"/>
    </row>
    <row r="11" spans="1:50" ht="15.75" customHeight="1" x14ac:dyDescent="0.25">
      <c r="A11" s="646"/>
      <c r="B11" s="647"/>
      <c r="C11" s="648"/>
      <c r="D11" s="649">
        <v>39</v>
      </c>
      <c r="E11" s="207" t="s">
        <v>566</v>
      </c>
      <c r="F11" s="208"/>
      <c r="G11" s="835"/>
      <c r="H11" s="835"/>
      <c r="I11" s="1198"/>
      <c r="J11" s="674"/>
      <c r="K11" s="836"/>
      <c r="L11" s="836"/>
      <c r="M11" s="1199"/>
      <c r="N11" s="835"/>
      <c r="O11" s="1200"/>
      <c r="P11" s="925"/>
      <c r="Q11" s="1201"/>
      <c r="R11" s="1202"/>
      <c r="S11" s="1202"/>
      <c r="T11" s="208"/>
      <c r="U11" s="1203"/>
      <c r="V11" s="1204"/>
      <c r="W11" s="1205"/>
      <c r="X11" s="1204"/>
      <c r="Y11" s="1204"/>
      <c r="Z11" s="1204"/>
      <c r="AA11" s="1204"/>
      <c r="AB11" s="1204"/>
      <c r="AC11" s="1204"/>
      <c r="AD11" s="1204"/>
      <c r="AE11" s="1204"/>
      <c r="AF11" s="1204"/>
      <c r="AG11" s="1204"/>
      <c r="AH11" s="1204"/>
      <c r="AI11" s="1204"/>
      <c r="AJ11" s="1204"/>
      <c r="AK11" s="1204"/>
      <c r="AL11" s="1204"/>
      <c r="AM11" s="1204"/>
      <c r="AN11" s="1204"/>
      <c r="AO11" s="1204"/>
      <c r="AP11" s="1204"/>
      <c r="AQ11" s="4"/>
      <c r="AR11" s="4"/>
      <c r="AS11" s="4"/>
      <c r="AT11" s="4"/>
      <c r="AU11" s="4"/>
      <c r="AV11" s="4"/>
      <c r="AW11" s="4"/>
      <c r="AX11" s="4"/>
    </row>
    <row r="12" spans="1:50" s="1213" customFormat="1" ht="45.75" customHeight="1" x14ac:dyDescent="0.25">
      <c r="A12" s="1206"/>
      <c r="B12" s="1207"/>
      <c r="C12" s="1208"/>
      <c r="D12" s="3660"/>
      <c r="E12" s="3662"/>
      <c r="F12" s="1209"/>
      <c r="G12" s="2852">
        <v>4301007</v>
      </c>
      <c r="H12" s="2852" t="s">
        <v>1037</v>
      </c>
      <c r="I12" s="3664" t="s">
        <v>1038</v>
      </c>
      <c r="J12" s="3138" t="s">
        <v>1039</v>
      </c>
      <c r="K12" s="3538">
        <v>12</v>
      </c>
      <c r="L12" s="3538">
        <v>6</v>
      </c>
      <c r="M12" s="1210" t="s">
        <v>1040</v>
      </c>
      <c r="N12" s="2706" t="s">
        <v>1041</v>
      </c>
      <c r="O12" s="2303" t="s">
        <v>1042</v>
      </c>
      <c r="P12" s="3680">
        <f>+(U12+U13+U14)/(U12+U13+U14+U29+U52+U53+U54+U55)</f>
        <v>0.10797728471625799</v>
      </c>
      <c r="Q12" s="3675">
        <f>+U12+U13+U14+U15+U16+U17</f>
        <v>175589000</v>
      </c>
      <c r="R12" s="2430" t="s">
        <v>1043</v>
      </c>
      <c r="S12" s="3138" t="s">
        <v>1044</v>
      </c>
      <c r="T12" s="3676" t="s">
        <v>1045</v>
      </c>
      <c r="U12" s="1211">
        <v>47740000</v>
      </c>
      <c r="V12" s="1212">
        <v>12</v>
      </c>
      <c r="W12" s="1990" t="s">
        <v>1720</v>
      </c>
      <c r="X12" s="3677">
        <v>770</v>
      </c>
      <c r="Y12" s="3674">
        <v>630</v>
      </c>
      <c r="Z12" s="3674">
        <v>372</v>
      </c>
      <c r="AA12" s="3674">
        <v>94</v>
      </c>
      <c r="AB12" s="3674">
        <v>934</v>
      </c>
      <c r="AC12" s="3674">
        <v>0</v>
      </c>
      <c r="AD12" s="3674">
        <v>40</v>
      </c>
      <c r="AE12" s="3674">
        <v>0</v>
      </c>
      <c r="AF12" s="3674">
        <v>0</v>
      </c>
      <c r="AG12" s="3674">
        <v>0</v>
      </c>
      <c r="AH12" s="3674">
        <v>0</v>
      </c>
      <c r="AI12" s="3674">
        <v>0</v>
      </c>
      <c r="AJ12" s="3674">
        <v>0</v>
      </c>
      <c r="AK12" s="3674">
        <v>0</v>
      </c>
      <c r="AL12" s="3674">
        <v>0</v>
      </c>
      <c r="AM12" s="3674">
        <v>1400</v>
      </c>
      <c r="AN12" s="3012">
        <v>43832</v>
      </c>
      <c r="AO12" s="3012">
        <v>44195</v>
      </c>
      <c r="AP12" s="2259" t="s">
        <v>1046</v>
      </c>
      <c r="AQ12" s="3"/>
      <c r="AR12" s="3"/>
      <c r="AS12" s="3"/>
      <c r="AT12" s="3"/>
      <c r="AU12" s="3"/>
      <c r="AV12" s="3"/>
      <c r="AW12" s="3"/>
      <c r="AX12" s="3"/>
    </row>
    <row r="13" spans="1:50" s="1213" customFormat="1" ht="69.75" customHeight="1" x14ac:dyDescent="0.25">
      <c r="A13" s="1214"/>
      <c r="B13" s="484"/>
      <c r="C13" s="1215"/>
      <c r="D13" s="3661"/>
      <c r="E13" s="3663"/>
      <c r="F13" s="484"/>
      <c r="G13" s="2852"/>
      <c r="H13" s="2852"/>
      <c r="I13" s="3665"/>
      <c r="J13" s="2515"/>
      <c r="K13" s="3538"/>
      <c r="L13" s="3538"/>
      <c r="M13" s="1210" t="s">
        <v>1047</v>
      </c>
      <c r="N13" s="2706"/>
      <c r="O13" s="2303"/>
      <c r="P13" s="3681"/>
      <c r="Q13" s="3675"/>
      <c r="R13" s="2441"/>
      <c r="S13" s="2515"/>
      <c r="T13" s="3676"/>
      <c r="U13" s="852">
        <v>96129000</v>
      </c>
      <c r="V13" s="1212" t="s">
        <v>1048</v>
      </c>
      <c r="W13" s="1994" t="s">
        <v>1049</v>
      </c>
      <c r="X13" s="3677"/>
      <c r="Y13" s="3674"/>
      <c r="Z13" s="3674"/>
      <c r="AA13" s="3674"/>
      <c r="AB13" s="3674"/>
      <c r="AC13" s="3674"/>
      <c r="AD13" s="3674"/>
      <c r="AE13" s="3674"/>
      <c r="AF13" s="3674"/>
      <c r="AG13" s="3674"/>
      <c r="AH13" s="3674"/>
      <c r="AI13" s="3674"/>
      <c r="AJ13" s="3674"/>
      <c r="AK13" s="3674"/>
      <c r="AL13" s="3674"/>
      <c r="AM13" s="3674"/>
      <c r="AN13" s="3072"/>
      <c r="AO13" s="3072"/>
      <c r="AP13" s="2259"/>
      <c r="AQ13" s="3"/>
      <c r="AR13" s="3"/>
      <c r="AS13" s="3"/>
      <c r="AT13" s="3"/>
      <c r="AU13" s="3"/>
      <c r="AV13" s="3"/>
      <c r="AW13" s="3"/>
      <c r="AX13" s="3"/>
    </row>
    <row r="14" spans="1:50" s="1213" customFormat="1" ht="66" customHeight="1" x14ac:dyDescent="0.25">
      <c r="A14" s="1214"/>
      <c r="B14" s="484"/>
      <c r="C14" s="1215"/>
      <c r="D14" s="1216"/>
      <c r="E14" s="1217"/>
      <c r="F14" s="484"/>
      <c r="G14" s="2852"/>
      <c r="H14" s="2852"/>
      <c r="I14" s="3666"/>
      <c r="J14" s="3679"/>
      <c r="K14" s="3538"/>
      <c r="L14" s="3538"/>
      <c r="M14" s="1210" t="s">
        <v>1047</v>
      </c>
      <c r="N14" s="2706"/>
      <c r="O14" s="2303"/>
      <c r="P14" s="3682"/>
      <c r="Q14" s="3675"/>
      <c r="R14" s="2441"/>
      <c r="S14" s="2515"/>
      <c r="T14" s="3676"/>
      <c r="U14" s="852">
        <v>18240000</v>
      </c>
      <c r="V14" s="1212" t="s">
        <v>1048</v>
      </c>
      <c r="W14" s="1994" t="s">
        <v>1049</v>
      </c>
      <c r="X14" s="3677"/>
      <c r="Y14" s="3674"/>
      <c r="Z14" s="3674"/>
      <c r="AA14" s="3674"/>
      <c r="AB14" s="3674"/>
      <c r="AC14" s="3674"/>
      <c r="AD14" s="3674"/>
      <c r="AE14" s="3674"/>
      <c r="AF14" s="3674"/>
      <c r="AG14" s="3674"/>
      <c r="AH14" s="3674"/>
      <c r="AI14" s="3674"/>
      <c r="AJ14" s="3674"/>
      <c r="AK14" s="3674"/>
      <c r="AL14" s="3674"/>
      <c r="AM14" s="3674"/>
      <c r="AN14" s="3072"/>
      <c r="AO14" s="3072"/>
      <c r="AP14" s="2259"/>
      <c r="AQ14" s="3"/>
      <c r="AR14" s="3"/>
      <c r="AS14" s="3"/>
      <c r="AT14" s="3"/>
      <c r="AU14" s="3"/>
      <c r="AV14" s="3"/>
      <c r="AW14" s="3"/>
      <c r="AX14" s="3"/>
    </row>
    <row r="15" spans="1:50" s="1213" customFormat="1" ht="42.75" customHeight="1" x14ac:dyDescent="0.25">
      <c r="A15" s="1214"/>
      <c r="B15" s="484"/>
      <c r="C15" s="1215"/>
      <c r="D15" s="484"/>
      <c r="E15" s="484"/>
      <c r="F15" s="484"/>
      <c r="G15" s="2852">
        <v>4301037</v>
      </c>
      <c r="H15" s="2852">
        <v>39.200000000000003</v>
      </c>
      <c r="I15" s="3668" t="s">
        <v>1050</v>
      </c>
      <c r="J15" s="3671" t="s">
        <v>1051</v>
      </c>
      <c r="K15" s="3538">
        <v>12</v>
      </c>
      <c r="L15" s="3538">
        <v>9</v>
      </c>
      <c r="M15" s="1218" t="s">
        <v>1052</v>
      </c>
      <c r="N15" s="2706"/>
      <c r="O15" s="2303"/>
      <c r="P15" s="3683">
        <f>+(U15+U16+U17)/1488175680.78</f>
        <v>9.0580703435058866E-3</v>
      </c>
      <c r="Q15" s="3675"/>
      <c r="R15" s="2441"/>
      <c r="S15" s="2441"/>
      <c r="T15" s="1219" t="s">
        <v>1053</v>
      </c>
      <c r="U15" s="1220">
        <v>4000000</v>
      </c>
      <c r="V15" s="854" t="s">
        <v>1054</v>
      </c>
      <c r="W15" s="1992" t="s">
        <v>1725</v>
      </c>
      <c r="X15" s="3674"/>
      <c r="Y15" s="3674"/>
      <c r="Z15" s="3674"/>
      <c r="AA15" s="3674"/>
      <c r="AB15" s="3674"/>
      <c r="AC15" s="3674"/>
      <c r="AD15" s="3674"/>
      <c r="AE15" s="3674"/>
      <c r="AF15" s="3674"/>
      <c r="AG15" s="3674"/>
      <c r="AH15" s="3674"/>
      <c r="AI15" s="3674"/>
      <c r="AJ15" s="3674"/>
      <c r="AK15" s="3674"/>
      <c r="AL15" s="3674"/>
      <c r="AM15" s="3674"/>
      <c r="AN15" s="3072"/>
      <c r="AO15" s="3072"/>
      <c r="AP15" s="2259"/>
      <c r="AQ15" s="3"/>
      <c r="AR15" s="3"/>
      <c r="AS15" s="3"/>
      <c r="AT15" s="3"/>
      <c r="AU15" s="3"/>
      <c r="AV15" s="3"/>
      <c r="AW15" s="3"/>
      <c r="AX15" s="3"/>
    </row>
    <row r="16" spans="1:50" s="1213" customFormat="1" ht="29.25" customHeight="1" x14ac:dyDescent="0.25">
      <c r="A16" s="1214"/>
      <c r="B16" s="484"/>
      <c r="C16" s="1215"/>
      <c r="D16" s="484"/>
      <c r="E16" s="484"/>
      <c r="F16" s="484"/>
      <c r="G16" s="2852"/>
      <c r="H16" s="2852"/>
      <c r="I16" s="3669"/>
      <c r="J16" s="3672"/>
      <c r="K16" s="3538"/>
      <c r="L16" s="3538"/>
      <c r="M16" s="1218" t="s">
        <v>1055</v>
      </c>
      <c r="N16" s="2706"/>
      <c r="O16" s="2303"/>
      <c r="P16" s="3684"/>
      <c r="Q16" s="3675"/>
      <c r="R16" s="2441"/>
      <c r="S16" s="2441"/>
      <c r="T16" s="3678" t="s">
        <v>1056</v>
      </c>
      <c r="U16" s="1221">
        <v>3480000</v>
      </c>
      <c r="V16" s="854" t="s">
        <v>1057</v>
      </c>
      <c r="W16" s="1993" t="s">
        <v>1058</v>
      </c>
      <c r="X16" s="3674"/>
      <c r="Y16" s="3674"/>
      <c r="Z16" s="3674"/>
      <c r="AA16" s="3674"/>
      <c r="AB16" s="3674"/>
      <c r="AC16" s="3674"/>
      <c r="AD16" s="3674"/>
      <c r="AE16" s="3674"/>
      <c r="AF16" s="3674"/>
      <c r="AG16" s="3674"/>
      <c r="AH16" s="3674"/>
      <c r="AI16" s="3674"/>
      <c r="AJ16" s="3674"/>
      <c r="AK16" s="3674"/>
      <c r="AL16" s="3674"/>
      <c r="AM16" s="3674"/>
      <c r="AN16" s="3072"/>
      <c r="AO16" s="3072"/>
      <c r="AP16" s="2259"/>
      <c r="AQ16" s="3"/>
      <c r="AR16" s="3"/>
      <c r="AS16" s="3"/>
      <c r="AT16" s="3"/>
      <c r="AU16" s="3"/>
      <c r="AV16" s="3"/>
      <c r="AW16" s="3"/>
      <c r="AX16" s="3"/>
    </row>
    <row r="17" spans="1:157" s="1213" customFormat="1" ht="33" customHeight="1" x14ac:dyDescent="0.25">
      <c r="A17" s="1214"/>
      <c r="B17" s="484"/>
      <c r="C17" s="1215"/>
      <c r="D17" s="484"/>
      <c r="E17" s="484"/>
      <c r="F17" s="484"/>
      <c r="G17" s="2852"/>
      <c r="H17" s="2852"/>
      <c r="I17" s="3670"/>
      <c r="J17" s="3673"/>
      <c r="K17" s="3538"/>
      <c r="L17" s="3538"/>
      <c r="M17" s="1218" t="s">
        <v>1059</v>
      </c>
      <c r="N17" s="2706"/>
      <c r="O17" s="2303"/>
      <c r="P17" s="3685"/>
      <c r="Q17" s="3675"/>
      <c r="R17" s="2442"/>
      <c r="S17" s="2442"/>
      <c r="T17" s="3678"/>
      <c r="U17" s="1222">
        <v>6000000</v>
      </c>
      <c r="V17" s="1212" t="s">
        <v>1060</v>
      </c>
      <c r="W17" s="1990" t="s">
        <v>1720</v>
      </c>
      <c r="X17" s="3674"/>
      <c r="Y17" s="3674"/>
      <c r="Z17" s="3674"/>
      <c r="AA17" s="3674"/>
      <c r="AB17" s="3674"/>
      <c r="AC17" s="3674"/>
      <c r="AD17" s="3674"/>
      <c r="AE17" s="3674"/>
      <c r="AF17" s="3674"/>
      <c r="AG17" s="3674"/>
      <c r="AH17" s="3674"/>
      <c r="AI17" s="3674"/>
      <c r="AJ17" s="3674"/>
      <c r="AK17" s="3674"/>
      <c r="AL17" s="3674"/>
      <c r="AM17" s="3674"/>
      <c r="AN17" s="3013"/>
      <c r="AO17" s="3013"/>
      <c r="AP17" s="2259"/>
      <c r="AQ17" s="3"/>
      <c r="AR17" s="3"/>
      <c r="AS17" s="3"/>
      <c r="AT17" s="3"/>
      <c r="AU17" s="3"/>
      <c r="AV17" s="3"/>
      <c r="AW17" s="3"/>
      <c r="AX17" s="3"/>
    </row>
    <row r="18" spans="1:157" s="1213" customFormat="1" ht="85.5" customHeight="1" x14ac:dyDescent="0.25">
      <c r="A18" s="1214"/>
      <c r="B18" s="484"/>
      <c r="C18" s="1215"/>
      <c r="D18" s="484"/>
      <c r="E18" s="484"/>
      <c r="F18" s="484"/>
      <c r="G18" s="2682">
        <v>4301037</v>
      </c>
      <c r="H18" s="2786" t="s">
        <v>1061</v>
      </c>
      <c r="I18" s="2827" t="s">
        <v>1050</v>
      </c>
      <c r="J18" s="2752" t="s">
        <v>1062</v>
      </c>
      <c r="K18" s="3018">
        <v>12</v>
      </c>
      <c r="L18" s="2196">
        <v>9</v>
      </c>
      <c r="M18" s="807" t="s">
        <v>1063</v>
      </c>
      <c r="N18" s="3687" t="s">
        <v>1064</v>
      </c>
      <c r="O18" s="2694" t="s">
        <v>1065</v>
      </c>
      <c r="P18" s="3690">
        <f>(U18+U19+U20)/1488175680.78</f>
        <v>3.3079042102205532E-2</v>
      </c>
      <c r="Q18" s="3691">
        <f>+U18+U19+U20</f>
        <v>49227426</v>
      </c>
      <c r="R18" s="2269" t="s">
        <v>1066</v>
      </c>
      <c r="S18" s="2312" t="s">
        <v>1067</v>
      </c>
      <c r="T18" s="2302" t="s">
        <v>1068</v>
      </c>
      <c r="U18" s="1223">
        <v>7000000</v>
      </c>
      <c r="V18" s="1224">
        <v>12</v>
      </c>
      <c r="W18" s="1990" t="s">
        <v>1720</v>
      </c>
      <c r="X18" s="3686">
        <v>6000</v>
      </c>
      <c r="Y18" s="3686">
        <v>9000</v>
      </c>
      <c r="Z18" s="3686">
        <v>10500</v>
      </c>
      <c r="AA18" s="3686">
        <v>4500</v>
      </c>
      <c r="AB18" s="3686">
        <v>0</v>
      </c>
      <c r="AC18" s="3686">
        <v>0</v>
      </c>
      <c r="AD18" s="3686">
        <v>22</v>
      </c>
      <c r="AE18" s="3686">
        <v>115</v>
      </c>
      <c r="AF18" s="3686">
        <v>1</v>
      </c>
      <c r="AG18" s="3686">
        <v>0</v>
      </c>
      <c r="AH18" s="3686">
        <v>0</v>
      </c>
      <c r="AI18" s="3686">
        <v>0</v>
      </c>
      <c r="AJ18" s="3686">
        <v>0</v>
      </c>
      <c r="AK18" s="3686">
        <v>59</v>
      </c>
      <c r="AL18" s="3686">
        <v>0</v>
      </c>
      <c r="AM18" s="3686">
        <v>15000</v>
      </c>
      <c r="AN18" s="3002">
        <v>43832</v>
      </c>
      <c r="AO18" s="3693">
        <v>44195</v>
      </c>
      <c r="AP18" s="2259" t="s">
        <v>1046</v>
      </c>
      <c r="AQ18" s="3"/>
      <c r="AR18" s="3"/>
      <c r="AS18" s="3"/>
      <c r="AT18" s="3"/>
      <c r="AU18" s="3"/>
      <c r="AV18" s="3"/>
      <c r="AW18" s="3"/>
      <c r="AX18" s="3"/>
    </row>
    <row r="19" spans="1:157" s="1213" customFormat="1" ht="51" customHeight="1" x14ac:dyDescent="0.25">
      <c r="A19" s="1214"/>
      <c r="B19" s="484"/>
      <c r="C19" s="1215"/>
      <c r="D19" s="484"/>
      <c r="E19" s="484"/>
      <c r="F19" s="484"/>
      <c r="G19" s="2852"/>
      <c r="H19" s="2786"/>
      <c r="I19" s="2827"/>
      <c r="J19" s="2752"/>
      <c r="K19" s="3018"/>
      <c r="L19" s="2197"/>
      <c r="M19" s="807" t="s">
        <v>1069</v>
      </c>
      <c r="N19" s="3688"/>
      <c r="O19" s="2694"/>
      <c r="P19" s="3009"/>
      <c r="Q19" s="3691"/>
      <c r="R19" s="2269"/>
      <c r="S19" s="2312"/>
      <c r="T19" s="2303"/>
      <c r="U19" s="1223">
        <v>2227426</v>
      </c>
      <c r="V19" s="1224">
        <v>4</v>
      </c>
      <c r="W19" s="1989" t="s">
        <v>1070</v>
      </c>
      <c r="X19" s="3686"/>
      <c r="Y19" s="3686"/>
      <c r="Z19" s="3686"/>
      <c r="AA19" s="3686"/>
      <c r="AB19" s="3686"/>
      <c r="AC19" s="3686"/>
      <c r="AD19" s="3686"/>
      <c r="AE19" s="3686"/>
      <c r="AF19" s="3686"/>
      <c r="AG19" s="3686"/>
      <c r="AH19" s="3686"/>
      <c r="AI19" s="3686"/>
      <c r="AJ19" s="3686"/>
      <c r="AK19" s="3686"/>
      <c r="AL19" s="3686"/>
      <c r="AM19" s="3686"/>
      <c r="AN19" s="2973"/>
      <c r="AO19" s="3693"/>
      <c r="AP19" s="2259"/>
    </row>
    <row r="20" spans="1:157" s="1213" customFormat="1" ht="73.5" customHeight="1" x14ac:dyDescent="0.25">
      <c r="A20" s="1214"/>
      <c r="B20" s="484"/>
      <c r="C20" s="1215"/>
      <c r="D20" s="484"/>
      <c r="E20" s="484"/>
      <c r="F20" s="484"/>
      <c r="G20" s="2416"/>
      <c r="H20" s="2786"/>
      <c r="I20" s="2827"/>
      <c r="J20" s="2752"/>
      <c r="K20" s="3018"/>
      <c r="L20" s="2811"/>
      <c r="M20" s="807" t="s">
        <v>1071</v>
      </c>
      <c r="N20" s="3689"/>
      <c r="O20" s="2752"/>
      <c r="P20" s="2997"/>
      <c r="Q20" s="3692"/>
      <c r="R20" s="2269"/>
      <c r="S20" s="2312"/>
      <c r="T20" s="2723"/>
      <c r="U20" s="1223">
        <v>40000000</v>
      </c>
      <c r="V20" s="1224">
        <v>6</v>
      </c>
      <c r="W20" s="1989" t="s">
        <v>1049</v>
      </c>
      <c r="X20" s="3686"/>
      <c r="Y20" s="3686"/>
      <c r="Z20" s="3686"/>
      <c r="AA20" s="3686"/>
      <c r="AB20" s="3686"/>
      <c r="AC20" s="3686"/>
      <c r="AD20" s="3686"/>
      <c r="AE20" s="3686"/>
      <c r="AF20" s="3686"/>
      <c r="AG20" s="3686"/>
      <c r="AH20" s="3686"/>
      <c r="AI20" s="3686"/>
      <c r="AJ20" s="3686"/>
      <c r="AK20" s="3686"/>
      <c r="AL20" s="3686"/>
      <c r="AM20" s="3686"/>
      <c r="AN20" s="2974"/>
      <c r="AO20" s="3693"/>
      <c r="AP20" s="2259"/>
    </row>
    <row r="21" spans="1:157" s="755" customFormat="1" ht="45" customHeight="1" x14ac:dyDescent="0.25">
      <c r="A21" s="700"/>
      <c r="B21" s="148"/>
      <c r="C21" s="315"/>
      <c r="D21" s="148"/>
      <c r="E21" s="148"/>
      <c r="F21" s="148"/>
      <c r="G21" s="3101">
        <v>4301037</v>
      </c>
      <c r="H21" s="3101" t="s">
        <v>1061</v>
      </c>
      <c r="I21" s="3017" t="s">
        <v>1050</v>
      </c>
      <c r="J21" s="3017" t="s">
        <v>1072</v>
      </c>
      <c r="K21" s="3040">
        <v>12</v>
      </c>
      <c r="L21" s="3040">
        <v>9</v>
      </c>
      <c r="M21" s="804" t="s">
        <v>1073</v>
      </c>
      <c r="N21" s="3694" t="s">
        <v>1074</v>
      </c>
      <c r="O21" s="3695" t="s">
        <v>1075</v>
      </c>
      <c r="P21" s="3433">
        <f>(U21+U22+U23+U24)/1488175680.78</f>
        <v>2.5400226927635199E-2</v>
      </c>
      <c r="Q21" s="3703">
        <f>+U21+U22+U23+U24+U25+U26+U27</f>
        <v>69300000</v>
      </c>
      <c r="R21" s="3353" t="s">
        <v>1076</v>
      </c>
      <c r="S21" s="3353" t="s">
        <v>1077</v>
      </c>
      <c r="T21" s="2772" t="s">
        <v>1078</v>
      </c>
      <c r="U21" s="1225">
        <v>6400000</v>
      </c>
      <c r="V21" s="1226">
        <v>3</v>
      </c>
      <c r="W21" s="1992" t="s">
        <v>1725</v>
      </c>
      <c r="X21" s="3539">
        <v>1666</v>
      </c>
      <c r="Y21" s="3539">
        <v>1507</v>
      </c>
      <c r="Z21" s="3539">
        <v>1400</v>
      </c>
      <c r="AA21" s="3539">
        <v>350</v>
      </c>
      <c r="AB21" s="3539">
        <v>450</v>
      </c>
      <c r="AC21" s="3539">
        <v>973</v>
      </c>
      <c r="AD21" s="3539">
        <v>0</v>
      </c>
      <c r="AE21" s="3539">
        <v>0</v>
      </c>
      <c r="AF21" s="3539">
        <v>0</v>
      </c>
      <c r="AG21" s="3539">
        <v>0</v>
      </c>
      <c r="AH21" s="3539">
        <v>0</v>
      </c>
      <c r="AI21" s="3539">
        <v>0</v>
      </c>
      <c r="AJ21" s="3539">
        <v>0</v>
      </c>
      <c r="AK21" s="3539">
        <v>0</v>
      </c>
      <c r="AL21" s="3539">
        <v>0</v>
      </c>
      <c r="AM21" s="3539">
        <v>3173</v>
      </c>
      <c r="AN21" s="3697">
        <v>43832</v>
      </c>
      <c r="AO21" s="3699">
        <v>44195</v>
      </c>
      <c r="AP21" s="3701" t="s">
        <v>1046</v>
      </c>
    </row>
    <row r="22" spans="1:157" s="755" customFormat="1" ht="72.75" customHeight="1" x14ac:dyDescent="0.25">
      <c r="A22" s="700"/>
      <c r="B22" s="148"/>
      <c r="C22" s="315"/>
      <c r="D22" s="148"/>
      <c r="E22" s="148"/>
      <c r="F22" s="148"/>
      <c r="G22" s="3101"/>
      <c r="H22" s="3101"/>
      <c r="I22" s="3017"/>
      <c r="J22" s="3017"/>
      <c r="K22" s="3040"/>
      <c r="L22" s="3040"/>
      <c r="M22" s="804" t="s">
        <v>1079</v>
      </c>
      <c r="N22" s="3694"/>
      <c r="O22" s="3042"/>
      <c r="P22" s="3433"/>
      <c r="Q22" s="3704"/>
      <c r="R22" s="3354"/>
      <c r="S22" s="3354"/>
      <c r="T22" s="2772"/>
      <c r="U22" s="1225">
        <v>12000000</v>
      </c>
      <c r="V22" s="1226">
        <v>6</v>
      </c>
      <c r="W22" s="1991" t="s">
        <v>1049</v>
      </c>
      <c r="X22" s="3539"/>
      <c r="Y22" s="3539"/>
      <c r="Z22" s="3539"/>
      <c r="AA22" s="3539"/>
      <c r="AB22" s="3539"/>
      <c r="AC22" s="3539"/>
      <c r="AD22" s="3539"/>
      <c r="AE22" s="3539"/>
      <c r="AF22" s="3539"/>
      <c r="AG22" s="3539"/>
      <c r="AH22" s="3539"/>
      <c r="AI22" s="3539"/>
      <c r="AJ22" s="3539"/>
      <c r="AK22" s="3539"/>
      <c r="AL22" s="3539"/>
      <c r="AM22" s="3539"/>
      <c r="AN22" s="3697"/>
      <c r="AO22" s="3700"/>
      <c r="AP22" s="3701"/>
    </row>
    <row r="23" spans="1:157" s="755" customFormat="1" ht="45.75" customHeight="1" x14ac:dyDescent="0.25">
      <c r="A23" s="700"/>
      <c r="B23" s="148"/>
      <c r="C23" s="315"/>
      <c r="D23" s="148"/>
      <c r="E23" s="148"/>
      <c r="F23" s="148"/>
      <c r="G23" s="3101"/>
      <c r="H23" s="3101"/>
      <c r="I23" s="3017"/>
      <c r="J23" s="3017"/>
      <c r="K23" s="3040"/>
      <c r="L23" s="3040"/>
      <c r="M23" s="804" t="s">
        <v>1080</v>
      </c>
      <c r="N23" s="3694"/>
      <c r="O23" s="3042"/>
      <c r="P23" s="3433"/>
      <c r="Q23" s="3704"/>
      <c r="R23" s="3354"/>
      <c r="S23" s="3354"/>
      <c r="T23" s="2772" t="s">
        <v>1081</v>
      </c>
      <c r="U23" s="1225">
        <v>7400000</v>
      </c>
      <c r="V23" s="1226">
        <v>3</v>
      </c>
      <c r="W23" s="1992" t="s">
        <v>1725</v>
      </c>
      <c r="X23" s="3539"/>
      <c r="Y23" s="3539"/>
      <c r="Z23" s="3539"/>
      <c r="AA23" s="3539"/>
      <c r="AB23" s="3539"/>
      <c r="AC23" s="3539"/>
      <c r="AD23" s="3539"/>
      <c r="AE23" s="3539"/>
      <c r="AF23" s="3539"/>
      <c r="AG23" s="3539"/>
      <c r="AH23" s="3539"/>
      <c r="AI23" s="3539"/>
      <c r="AJ23" s="3539"/>
      <c r="AK23" s="3539"/>
      <c r="AL23" s="3539"/>
      <c r="AM23" s="3539"/>
      <c r="AN23" s="3697"/>
      <c r="AO23" s="3700"/>
      <c r="AP23" s="3701"/>
    </row>
    <row r="24" spans="1:157" s="755" customFormat="1" ht="69.75" customHeight="1" x14ac:dyDescent="0.25">
      <c r="A24" s="700"/>
      <c r="B24" s="148"/>
      <c r="C24" s="315"/>
      <c r="D24" s="148"/>
      <c r="E24" s="148"/>
      <c r="F24" s="148"/>
      <c r="G24" s="3101"/>
      <c r="H24" s="3101"/>
      <c r="I24" s="3017"/>
      <c r="J24" s="3017"/>
      <c r="K24" s="3040"/>
      <c r="L24" s="3040"/>
      <c r="M24" s="804" t="s">
        <v>1082</v>
      </c>
      <c r="N24" s="3694"/>
      <c r="O24" s="3042"/>
      <c r="P24" s="3433"/>
      <c r="Q24" s="3704"/>
      <c r="R24" s="3354"/>
      <c r="S24" s="3354"/>
      <c r="T24" s="2772"/>
      <c r="U24" s="1225">
        <v>12000000</v>
      </c>
      <c r="V24" s="1226">
        <v>6</v>
      </c>
      <c r="W24" s="1991" t="s">
        <v>1049</v>
      </c>
      <c r="X24" s="3539"/>
      <c r="Y24" s="3539"/>
      <c r="Z24" s="3539"/>
      <c r="AA24" s="3539"/>
      <c r="AB24" s="3539"/>
      <c r="AC24" s="3539"/>
      <c r="AD24" s="3539"/>
      <c r="AE24" s="3539"/>
      <c r="AF24" s="3539"/>
      <c r="AG24" s="3539"/>
      <c r="AH24" s="3539"/>
      <c r="AI24" s="3539"/>
      <c r="AJ24" s="3539"/>
      <c r="AK24" s="3539"/>
      <c r="AL24" s="3539"/>
      <c r="AM24" s="3539"/>
      <c r="AN24" s="3697"/>
      <c r="AO24" s="3700"/>
      <c r="AP24" s="3701"/>
    </row>
    <row r="25" spans="1:157" s="755" customFormat="1" ht="51.75" customHeight="1" x14ac:dyDescent="0.25">
      <c r="A25" s="700"/>
      <c r="B25" s="148"/>
      <c r="C25" s="315"/>
      <c r="D25" s="148"/>
      <c r="E25" s="148"/>
      <c r="F25" s="148"/>
      <c r="G25" s="3101"/>
      <c r="H25" s="3101" t="s">
        <v>1083</v>
      </c>
      <c r="I25" s="3017" t="s">
        <v>1084</v>
      </c>
      <c r="J25" s="3017" t="s">
        <v>1085</v>
      </c>
      <c r="K25" s="3101">
        <v>1</v>
      </c>
      <c r="L25" s="3101" t="s">
        <v>1086</v>
      </c>
      <c r="M25" s="804" t="s">
        <v>1087</v>
      </c>
      <c r="N25" s="3694"/>
      <c r="O25" s="3042"/>
      <c r="P25" s="3433">
        <f>+(U25+U26+U27)/(U25+U26+U27+U56+U57)</f>
        <v>0.36206896551724138</v>
      </c>
      <c r="Q25" s="3704"/>
      <c r="R25" s="3354"/>
      <c r="S25" s="3354"/>
      <c r="T25" s="2725" t="s">
        <v>1088</v>
      </c>
      <c r="U25" s="1227">
        <v>12000000</v>
      </c>
      <c r="V25" s="1226">
        <v>12</v>
      </c>
      <c r="W25" s="1990" t="s">
        <v>1720</v>
      </c>
      <c r="X25" s="3539"/>
      <c r="Y25" s="3539"/>
      <c r="Z25" s="3539"/>
      <c r="AA25" s="3539"/>
      <c r="AB25" s="3539"/>
      <c r="AC25" s="3539"/>
      <c r="AD25" s="3539"/>
      <c r="AE25" s="3539"/>
      <c r="AF25" s="3539"/>
      <c r="AG25" s="3539"/>
      <c r="AH25" s="3539"/>
      <c r="AI25" s="3539"/>
      <c r="AJ25" s="3539"/>
      <c r="AK25" s="3539"/>
      <c r="AL25" s="3539"/>
      <c r="AM25" s="3539"/>
      <c r="AN25" s="3697"/>
      <c r="AO25" s="3700"/>
      <c r="AP25" s="3701"/>
    </row>
    <row r="26" spans="1:157" s="755" customFormat="1" ht="39.75" customHeight="1" x14ac:dyDescent="0.25">
      <c r="A26" s="700"/>
      <c r="B26" s="148"/>
      <c r="C26" s="315"/>
      <c r="D26" s="148"/>
      <c r="E26" s="148"/>
      <c r="F26" s="148"/>
      <c r="G26" s="3101"/>
      <c r="H26" s="3101"/>
      <c r="I26" s="3017"/>
      <c r="J26" s="3017"/>
      <c r="K26" s="3101"/>
      <c r="L26" s="3101"/>
      <c r="M26" s="804" t="s">
        <v>1089</v>
      </c>
      <c r="N26" s="3694"/>
      <c r="O26" s="3042"/>
      <c r="P26" s="3433"/>
      <c r="Q26" s="3704"/>
      <c r="R26" s="3354"/>
      <c r="S26" s="3354"/>
      <c r="T26" s="3706"/>
      <c r="U26" s="1227">
        <v>15500000</v>
      </c>
      <c r="V26" s="1226">
        <v>12</v>
      </c>
      <c r="W26" s="1990" t="s">
        <v>1720</v>
      </c>
      <c r="X26" s="3539"/>
      <c r="Y26" s="3539"/>
      <c r="Z26" s="3539"/>
      <c r="AA26" s="3539"/>
      <c r="AB26" s="3539"/>
      <c r="AC26" s="3539"/>
      <c r="AD26" s="3539"/>
      <c r="AE26" s="3539"/>
      <c r="AF26" s="3539"/>
      <c r="AG26" s="3539"/>
      <c r="AH26" s="3539"/>
      <c r="AI26" s="3539"/>
      <c r="AJ26" s="3539"/>
      <c r="AK26" s="3539"/>
      <c r="AL26" s="3539"/>
      <c r="AM26" s="3539"/>
      <c r="AN26" s="3697"/>
      <c r="AO26" s="3700"/>
      <c r="AP26" s="3701"/>
    </row>
    <row r="27" spans="1:157" s="755" customFormat="1" ht="138" customHeight="1" x14ac:dyDescent="0.25">
      <c r="A27" s="700"/>
      <c r="B27" s="148"/>
      <c r="C27" s="315"/>
      <c r="D27" s="148"/>
      <c r="E27" s="148"/>
      <c r="F27" s="148"/>
      <c r="G27" s="3101"/>
      <c r="H27" s="3101"/>
      <c r="I27" s="3017"/>
      <c r="J27" s="3017"/>
      <c r="K27" s="3101"/>
      <c r="L27" s="3101"/>
      <c r="M27" s="804" t="s">
        <v>1090</v>
      </c>
      <c r="N27" s="3694"/>
      <c r="O27" s="3696"/>
      <c r="P27" s="3433"/>
      <c r="Q27" s="3705"/>
      <c r="R27" s="3354"/>
      <c r="S27" s="3354"/>
      <c r="T27" s="3706"/>
      <c r="U27" s="1227">
        <v>4000000</v>
      </c>
      <c r="V27" s="1226">
        <v>3</v>
      </c>
      <c r="W27" s="1992" t="s">
        <v>1725</v>
      </c>
      <c r="X27" s="3539"/>
      <c r="Y27" s="3539"/>
      <c r="Z27" s="3539"/>
      <c r="AA27" s="3539"/>
      <c r="AB27" s="3539"/>
      <c r="AC27" s="3539"/>
      <c r="AD27" s="3539"/>
      <c r="AE27" s="3539"/>
      <c r="AF27" s="3539"/>
      <c r="AG27" s="3539"/>
      <c r="AH27" s="3539"/>
      <c r="AI27" s="3539"/>
      <c r="AJ27" s="3539"/>
      <c r="AK27" s="3539"/>
      <c r="AL27" s="3539"/>
      <c r="AM27" s="3539"/>
      <c r="AN27" s="3698"/>
      <c r="AO27" s="3700"/>
      <c r="AP27" s="3702"/>
    </row>
    <row r="28" spans="1:157" s="1234" customFormat="1" ht="105" customHeight="1" x14ac:dyDescent="0.25">
      <c r="A28" s="700"/>
      <c r="B28" s="148"/>
      <c r="C28" s="315"/>
      <c r="D28" s="148"/>
      <c r="E28" s="148"/>
      <c r="F28" s="148"/>
      <c r="G28" s="798">
        <v>4301037</v>
      </c>
      <c r="H28" s="1228" t="s">
        <v>1061</v>
      </c>
      <c r="I28" s="803" t="s">
        <v>1050</v>
      </c>
      <c r="J28" s="795" t="s">
        <v>1072</v>
      </c>
      <c r="K28" s="808">
        <v>12</v>
      </c>
      <c r="L28" s="1229">
        <v>9</v>
      </c>
      <c r="M28" s="1230" t="s">
        <v>1091</v>
      </c>
      <c r="N28" s="3694" t="s">
        <v>1092</v>
      </c>
      <c r="O28" s="3575" t="s">
        <v>1093</v>
      </c>
      <c r="P28" s="1231">
        <f>+U28/1488175680.78</f>
        <v>1.2417888720177208E-2</v>
      </c>
      <c r="Q28" s="3709">
        <f>+U28+U29</f>
        <v>367085598</v>
      </c>
      <c r="R28" s="3102" t="s">
        <v>1094</v>
      </c>
      <c r="S28" s="3102" t="s">
        <v>1095</v>
      </c>
      <c r="T28" s="3017" t="s">
        <v>1096</v>
      </c>
      <c r="U28" s="1232">
        <v>18480000</v>
      </c>
      <c r="V28" s="1233" t="s">
        <v>1057</v>
      </c>
      <c r="W28" s="1995" t="s">
        <v>1070</v>
      </c>
      <c r="X28" s="3707">
        <v>1700</v>
      </c>
      <c r="Y28" s="3707">
        <v>1500</v>
      </c>
      <c r="Z28" s="3707">
        <v>1800</v>
      </c>
      <c r="AA28" s="3707">
        <v>1000</v>
      </c>
      <c r="AB28" s="3707">
        <v>400</v>
      </c>
      <c r="AC28" s="3539"/>
      <c r="AD28" s="3539"/>
      <c r="AE28" s="3539"/>
      <c r="AF28" s="3539"/>
      <c r="AG28" s="3539"/>
      <c r="AH28" s="3539"/>
      <c r="AI28" s="3539"/>
      <c r="AJ28" s="3539"/>
      <c r="AK28" s="3539"/>
      <c r="AL28" s="3539"/>
      <c r="AM28" s="3539">
        <f>+X28+Y28+Z28+AA28+AB28</f>
        <v>6400</v>
      </c>
      <c r="AN28" s="3697">
        <v>43832</v>
      </c>
      <c r="AO28" s="3697">
        <v>44195</v>
      </c>
      <c r="AP28" s="3102" t="s">
        <v>1046</v>
      </c>
      <c r="AQ28" s="755"/>
      <c r="AR28" s="755"/>
      <c r="AS28" s="755"/>
      <c r="AT28" s="755"/>
      <c r="AU28" s="755"/>
      <c r="AV28" s="755"/>
      <c r="AW28" s="755"/>
      <c r="AX28" s="755"/>
      <c r="AY28" s="755"/>
      <c r="AZ28" s="755"/>
      <c r="BA28" s="755"/>
      <c r="BB28" s="755"/>
      <c r="BC28" s="755"/>
      <c r="BD28" s="755"/>
      <c r="BE28" s="755"/>
      <c r="BF28" s="755"/>
      <c r="BG28" s="755"/>
      <c r="BH28" s="755"/>
      <c r="BI28" s="755"/>
      <c r="BJ28" s="755"/>
      <c r="BK28" s="755"/>
      <c r="BL28" s="755"/>
      <c r="BM28" s="755"/>
      <c r="BN28" s="755"/>
      <c r="BO28" s="755"/>
      <c r="BP28" s="755"/>
      <c r="BQ28" s="755"/>
      <c r="BR28" s="755"/>
      <c r="BS28" s="755"/>
      <c r="BT28" s="755"/>
      <c r="BU28" s="755"/>
      <c r="BV28" s="755"/>
      <c r="BW28" s="755"/>
      <c r="BX28" s="755"/>
      <c r="BY28" s="755"/>
      <c r="BZ28" s="755"/>
      <c r="CA28" s="755"/>
      <c r="CB28" s="755"/>
      <c r="CC28" s="755"/>
      <c r="CD28" s="755"/>
      <c r="CE28" s="755"/>
      <c r="CF28" s="755"/>
      <c r="CG28" s="755"/>
      <c r="CH28" s="755"/>
      <c r="CI28" s="755"/>
      <c r="CJ28" s="755"/>
      <c r="CK28" s="755"/>
      <c r="CL28" s="755"/>
      <c r="CM28" s="755"/>
      <c r="CN28" s="755"/>
      <c r="CO28" s="755"/>
      <c r="CP28" s="755"/>
      <c r="CQ28" s="755"/>
      <c r="CR28" s="755"/>
      <c r="CS28" s="755"/>
      <c r="CT28" s="755"/>
      <c r="CU28" s="755"/>
      <c r="CV28" s="755"/>
      <c r="CW28" s="755"/>
      <c r="CX28" s="755"/>
      <c r="CY28" s="755"/>
      <c r="CZ28" s="755"/>
      <c r="DA28" s="755"/>
      <c r="DB28" s="755"/>
      <c r="DC28" s="755"/>
      <c r="DD28" s="755"/>
      <c r="DE28" s="755"/>
      <c r="DF28" s="755"/>
      <c r="DG28" s="755"/>
      <c r="DH28" s="755"/>
      <c r="DI28" s="755"/>
      <c r="DJ28" s="755"/>
      <c r="DK28" s="755"/>
      <c r="DL28" s="755"/>
      <c r="DM28" s="755"/>
      <c r="DN28" s="755"/>
      <c r="DO28" s="755"/>
      <c r="DP28" s="755"/>
      <c r="DQ28" s="755"/>
      <c r="DR28" s="755"/>
      <c r="DS28" s="755"/>
      <c r="DT28" s="755"/>
      <c r="DU28" s="755"/>
      <c r="DV28" s="755"/>
      <c r="DW28" s="755"/>
      <c r="DX28" s="755"/>
      <c r="DY28" s="755"/>
      <c r="DZ28" s="755"/>
      <c r="EA28" s="755"/>
      <c r="EB28" s="755"/>
      <c r="EC28" s="755"/>
      <c r="ED28" s="755"/>
      <c r="EE28" s="755"/>
      <c r="EF28" s="755"/>
      <c r="EG28" s="755"/>
      <c r="EH28" s="755"/>
      <c r="EI28" s="755"/>
      <c r="EJ28" s="755"/>
      <c r="EK28" s="755"/>
      <c r="EL28" s="755"/>
      <c r="EM28" s="755"/>
      <c r="EN28" s="755"/>
      <c r="EO28" s="755"/>
      <c r="EP28" s="755"/>
      <c r="EQ28" s="755"/>
      <c r="ER28" s="755"/>
      <c r="ES28" s="755"/>
      <c r="ET28" s="755"/>
      <c r="EU28" s="755"/>
      <c r="EV28" s="755"/>
      <c r="EW28" s="755"/>
      <c r="EX28" s="755"/>
      <c r="EY28" s="755"/>
      <c r="EZ28" s="755"/>
      <c r="FA28" s="755"/>
    </row>
    <row r="29" spans="1:157" s="1234" customFormat="1" ht="105" customHeight="1" x14ac:dyDescent="0.25">
      <c r="A29" s="700"/>
      <c r="B29" s="148"/>
      <c r="C29" s="315"/>
      <c r="D29" s="148"/>
      <c r="E29" s="148"/>
      <c r="F29" s="148"/>
      <c r="G29" s="798">
        <v>4301007</v>
      </c>
      <c r="H29" s="1235" t="s">
        <v>1037</v>
      </c>
      <c r="I29" s="1236" t="s">
        <v>1038</v>
      </c>
      <c r="J29" s="805" t="s">
        <v>1039</v>
      </c>
      <c r="K29" s="804">
        <v>12</v>
      </c>
      <c r="L29" s="804">
        <v>9</v>
      </c>
      <c r="M29" s="1237" t="s">
        <v>1097</v>
      </c>
      <c r="N29" s="3694"/>
      <c r="O29" s="3708"/>
      <c r="P29" s="555">
        <f>(U29)/(U12+U13+U14+U29+U52+U53+U54+U55)</f>
        <v>0.23219861888561016</v>
      </c>
      <c r="Q29" s="3710"/>
      <c r="R29" s="3102"/>
      <c r="S29" s="3102"/>
      <c r="T29" s="3017"/>
      <c r="U29" s="1238">
        <v>348605598</v>
      </c>
      <c r="V29" s="1233" t="s">
        <v>1098</v>
      </c>
      <c r="W29" s="1996" t="s">
        <v>1099</v>
      </c>
      <c r="X29" s="3707"/>
      <c r="Y29" s="3707"/>
      <c r="Z29" s="3707"/>
      <c r="AA29" s="3707"/>
      <c r="AB29" s="3707"/>
      <c r="AC29" s="3539"/>
      <c r="AD29" s="3539"/>
      <c r="AE29" s="3539"/>
      <c r="AF29" s="3539"/>
      <c r="AG29" s="3539"/>
      <c r="AH29" s="3539"/>
      <c r="AI29" s="3539"/>
      <c r="AJ29" s="3539"/>
      <c r="AK29" s="3539"/>
      <c r="AL29" s="3539"/>
      <c r="AM29" s="3539"/>
      <c r="AN29" s="3697"/>
      <c r="AO29" s="3697"/>
      <c r="AP29" s="3102"/>
      <c r="AQ29" s="755"/>
      <c r="AR29" s="755"/>
      <c r="AS29" s="755"/>
      <c r="AT29" s="755"/>
      <c r="AU29" s="755"/>
      <c r="AV29" s="755"/>
      <c r="AW29" s="755"/>
      <c r="AX29" s="755"/>
      <c r="AY29" s="755"/>
      <c r="AZ29" s="755"/>
      <c r="BA29" s="755"/>
      <c r="BB29" s="755"/>
      <c r="BC29" s="755"/>
      <c r="BD29" s="755"/>
      <c r="BE29" s="755"/>
      <c r="BF29" s="755"/>
      <c r="BG29" s="755"/>
      <c r="BH29" s="755"/>
      <c r="BI29" s="755"/>
      <c r="BJ29" s="755"/>
      <c r="BK29" s="755"/>
      <c r="BL29" s="755"/>
      <c r="BM29" s="755"/>
      <c r="BN29" s="755"/>
      <c r="BO29" s="755"/>
      <c r="BP29" s="755"/>
      <c r="BQ29" s="755"/>
      <c r="BR29" s="755"/>
      <c r="BS29" s="755"/>
      <c r="BT29" s="755"/>
      <c r="BU29" s="755"/>
      <c r="BV29" s="755"/>
      <c r="BW29" s="755"/>
      <c r="BX29" s="755"/>
      <c r="BY29" s="755"/>
      <c r="BZ29" s="755"/>
      <c r="CA29" s="755"/>
      <c r="CB29" s="755"/>
      <c r="CC29" s="755"/>
      <c r="CD29" s="755"/>
      <c r="CE29" s="755"/>
      <c r="CF29" s="755"/>
      <c r="CG29" s="755"/>
      <c r="CH29" s="755"/>
      <c r="CI29" s="755"/>
      <c r="CJ29" s="755"/>
      <c r="CK29" s="755"/>
      <c r="CL29" s="755"/>
      <c r="CM29" s="755"/>
      <c r="CN29" s="755"/>
      <c r="CO29" s="755"/>
      <c r="CP29" s="755"/>
      <c r="CQ29" s="755"/>
      <c r="CR29" s="755"/>
      <c r="CS29" s="755"/>
      <c r="CT29" s="755"/>
      <c r="CU29" s="755"/>
      <c r="CV29" s="755"/>
      <c r="CW29" s="755"/>
      <c r="CX29" s="755"/>
      <c r="CY29" s="755"/>
      <c r="CZ29" s="755"/>
      <c r="DA29" s="755"/>
      <c r="DB29" s="755"/>
      <c r="DC29" s="755"/>
      <c r="DD29" s="755"/>
      <c r="DE29" s="755"/>
      <c r="DF29" s="755"/>
      <c r="DG29" s="755"/>
      <c r="DH29" s="755"/>
      <c r="DI29" s="755"/>
      <c r="DJ29" s="755"/>
      <c r="DK29" s="755"/>
      <c r="DL29" s="755"/>
      <c r="DM29" s="755"/>
      <c r="DN29" s="755"/>
      <c r="DO29" s="755"/>
      <c r="DP29" s="755"/>
      <c r="DQ29" s="755"/>
      <c r="DR29" s="755"/>
      <c r="DS29" s="755"/>
      <c r="DT29" s="755"/>
      <c r="DU29" s="755"/>
      <c r="DV29" s="755"/>
      <c r="DW29" s="755"/>
      <c r="DX29" s="755"/>
      <c r="DY29" s="755"/>
      <c r="DZ29" s="755"/>
      <c r="EA29" s="755"/>
      <c r="EB29" s="755"/>
      <c r="EC29" s="755"/>
      <c r="ED29" s="755"/>
      <c r="EE29" s="755"/>
      <c r="EF29" s="755"/>
      <c r="EG29" s="755"/>
      <c r="EH29" s="755"/>
      <c r="EI29" s="755"/>
      <c r="EJ29" s="755"/>
      <c r="EK29" s="755"/>
      <c r="EL29" s="755"/>
      <c r="EM29" s="755"/>
      <c r="EN29" s="755"/>
      <c r="EO29" s="755"/>
      <c r="EP29" s="755"/>
      <c r="EQ29" s="755"/>
      <c r="ER29" s="755"/>
      <c r="ES29" s="755"/>
      <c r="ET29" s="755"/>
      <c r="EU29" s="755"/>
      <c r="EV29" s="755"/>
      <c r="EW29" s="755"/>
      <c r="EX29" s="755"/>
      <c r="EY29" s="755"/>
      <c r="EZ29" s="755"/>
      <c r="FA29" s="755"/>
    </row>
    <row r="30" spans="1:157" s="1213" customFormat="1" ht="39.75" customHeight="1" x14ac:dyDescent="0.25">
      <c r="A30" s="700"/>
      <c r="B30" s="148"/>
      <c r="C30" s="315"/>
      <c r="D30" s="148"/>
      <c r="E30" s="148"/>
      <c r="F30" s="148"/>
      <c r="G30" s="3101">
        <v>4301037</v>
      </c>
      <c r="H30" s="3456" t="s">
        <v>1061</v>
      </c>
      <c r="I30" s="3029" t="s">
        <v>1050</v>
      </c>
      <c r="J30" s="3570" t="s">
        <v>1072</v>
      </c>
      <c r="K30" s="3711">
        <v>12</v>
      </c>
      <c r="L30" s="3712">
        <v>9</v>
      </c>
      <c r="M30" s="1238" t="s">
        <v>1100</v>
      </c>
      <c r="N30" s="3715" t="s">
        <v>1101</v>
      </c>
      <c r="O30" s="3253" t="s">
        <v>1102</v>
      </c>
      <c r="P30" s="3717">
        <f>(U30+U31+U32+U33+U34)/1488175680.78</f>
        <v>6.1541848978473673E-2</v>
      </c>
      <c r="Q30" s="2814">
        <f>+U30+U31+U32+U33+U34</f>
        <v>91585083</v>
      </c>
      <c r="R30" s="2875" t="s">
        <v>1103</v>
      </c>
      <c r="S30" s="2878" t="s">
        <v>1104</v>
      </c>
      <c r="T30" s="2398" t="s">
        <v>1096</v>
      </c>
      <c r="U30" s="1240">
        <v>30633333</v>
      </c>
      <c r="V30" s="1226">
        <v>3</v>
      </c>
      <c r="W30" s="1992" t="s">
        <v>1725</v>
      </c>
      <c r="X30" s="3618">
        <v>3380</v>
      </c>
      <c r="Y30" s="3618">
        <v>460</v>
      </c>
      <c r="Z30" s="3618">
        <v>0</v>
      </c>
      <c r="AA30" s="3618">
        <v>0</v>
      </c>
      <c r="AB30" s="3618">
        <v>3840</v>
      </c>
      <c r="AC30" s="3618">
        <v>0</v>
      </c>
      <c r="AD30" s="3618">
        <v>0</v>
      </c>
      <c r="AE30" s="3618">
        <v>0</v>
      </c>
      <c r="AF30" s="3618">
        <v>0</v>
      </c>
      <c r="AG30" s="3618">
        <v>0</v>
      </c>
      <c r="AH30" s="3618">
        <v>0</v>
      </c>
      <c r="AI30" s="3618">
        <v>0</v>
      </c>
      <c r="AJ30" s="3618">
        <v>0</v>
      </c>
      <c r="AK30" s="3618">
        <v>0</v>
      </c>
      <c r="AL30" s="3618">
        <v>0</v>
      </c>
      <c r="AM30" s="3618">
        <f>+X30+Y30+Z30+AA30+AB30+AC30</f>
        <v>7680</v>
      </c>
      <c r="AN30" s="3718">
        <v>43832</v>
      </c>
      <c r="AO30" s="3718">
        <v>44195</v>
      </c>
      <c r="AP30" s="3720" t="s">
        <v>1046</v>
      </c>
      <c r="AQ30" s="755"/>
      <c r="AR30" s="755"/>
    </row>
    <row r="31" spans="1:157" s="1213" customFormat="1" ht="58.5" customHeight="1" x14ac:dyDescent="0.25">
      <c r="A31" s="700"/>
      <c r="B31" s="148"/>
      <c r="C31" s="315"/>
      <c r="D31" s="148"/>
      <c r="E31" s="148"/>
      <c r="F31" s="148"/>
      <c r="G31" s="3101"/>
      <c r="H31" s="3350"/>
      <c r="I31" s="3030"/>
      <c r="J31" s="3571"/>
      <c r="K31" s="3711"/>
      <c r="L31" s="3713"/>
      <c r="M31" s="1238" t="s">
        <v>1105</v>
      </c>
      <c r="N31" s="3716"/>
      <c r="O31" s="2772"/>
      <c r="P31" s="3717"/>
      <c r="Q31" s="2814"/>
      <c r="R31" s="2875"/>
      <c r="S31" s="2878"/>
      <c r="T31" s="2398"/>
      <c r="U31" s="1227">
        <v>18733896</v>
      </c>
      <c r="V31" s="1226">
        <v>15</v>
      </c>
      <c r="W31" s="1991" t="s">
        <v>1106</v>
      </c>
      <c r="X31" s="3618"/>
      <c r="Y31" s="3618"/>
      <c r="Z31" s="3618"/>
      <c r="AA31" s="3618"/>
      <c r="AB31" s="3618"/>
      <c r="AC31" s="3618"/>
      <c r="AD31" s="3618"/>
      <c r="AE31" s="3618"/>
      <c r="AF31" s="3618"/>
      <c r="AG31" s="3618"/>
      <c r="AH31" s="3618"/>
      <c r="AI31" s="3618"/>
      <c r="AJ31" s="3618"/>
      <c r="AK31" s="3618"/>
      <c r="AL31" s="3618"/>
      <c r="AM31" s="3618"/>
      <c r="AN31" s="3718"/>
      <c r="AO31" s="3718"/>
      <c r="AP31" s="3720"/>
      <c r="AQ31" s="755"/>
      <c r="AR31" s="755"/>
    </row>
    <row r="32" spans="1:157" s="1213" customFormat="1" ht="81" customHeight="1" x14ac:dyDescent="0.25">
      <c r="A32" s="700"/>
      <c r="B32" s="148"/>
      <c r="C32" s="315"/>
      <c r="D32" s="148"/>
      <c r="E32" s="148"/>
      <c r="F32" s="148"/>
      <c r="G32" s="3101"/>
      <c r="H32" s="3350"/>
      <c r="I32" s="3030"/>
      <c r="J32" s="3571"/>
      <c r="K32" s="3711"/>
      <c r="L32" s="3713"/>
      <c r="M32" s="804" t="s">
        <v>1107</v>
      </c>
      <c r="N32" s="3716"/>
      <c r="O32" s="2772"/>
      <c r="P32" s="3717"/>
      <c r="Q32" s="2814"/>
      <c r="R32" s="2875"/>
      <c r="S32" s="2878"/>
      <c r="T32" s="2398"/>
      <c r="U32" s="1227">
        <v>62946</v>
      </c>
      <c r="V32" s="1226">
        <v>18</v>
      </c>
      <c r="W32" s="1989" t="s">
        <v>1722</v>
      </c>
      <c r="X32" s="3618"/>
      <c r="Y32" s="3618"/>
      <c r="Z32" s="3618"/>
      <c r="AA32" s="3618"/>
      <c r="AB32" s="3618"/>
      <c r="AC32" s="3618"/>
      <c r="AD32" s="3618"/>
      <c r="AE32" s="3618"/>
      <c r="AF32" s="3618"/>
      <c r="AG32" s="3618"/>
      <c r="AH32" s="3618"/>
      <c r="AI32" s="3618"/>
      <c r="AJ32" s="3618"/>
      <c r="AK32" s="3618"/>
      <c r="AL32" s="3618"/>
      <c r="AM32" s="3618"/>
      <c r="AN32" s="3718"/>
      <c r="AO32" s="3718"/>
      <c r="AP32" s="3720"/>
      <c r="AQ32" s="755"/>
      <c r="AR32" s="755"/>
    </row>
    <row r="33" spans="1:44" s="1213" customFormat="1" ht="44.25" customHeight="1" x14ac:dyDescent="0.25">
      <c r="A33" s="700"/>
      <c r="B33" s="148"/>
      <c r="C33" s="315"/>
      <c r="D33" s="148"/>
      <c r="E33" s="148"/>
      <c r="F33" s="148"/>
      <c r="G33" s="3101"/>
      <c r="H33" s="3350"/>
      <c r="I33" s="3030"/>
      <c r="J33" s="3571"/>
      <c r="K33" s="3711"/>
      <c r="L33" s="3713"/>
      <c r="M33" s="804" t="s">
        <v>1108</v>
      </c>
      <c r="N33" s="3716"/>
      <c r="O33" s="2772"/>
      <c r="P33" s="3717"/>
      <c r="Q33" s="2814"/>
      <c r="R33" s="2875"/>
      <c r="S33" s="2878"/>
      <c r="T33" s="2398"/>
      <c r="U33" s="1227">
        <v>359648</v>
      </c>
      <c r="V33" s="1226">
        <v>4</v>
      </c>
      <c r="W33" s="1991" t="s">
        <v>1070</v>
      </c>
      <c r="X33" s="3618"/>
      <c r="Y33" s="3618"/>
      <c r="Z33" s="3618"/>
      <c r="AA33" s="3618"/>
      <c r="AB33" s="3618"/>
      <c r="AC33" s="3618"/>
      <c r="AD33" s="3618"/>
      <c r="AE33" s="3618"/>
      <c r="AF33" s="3618"/>
      <c r="AG33" s="3618"/>
      <c r="AH33" s="3618"/>
      <c r="AI33" s="3618"/>
      <c r="AJ33" s="3618"/>
      <c r="AK33" s="3618"/>
      <c r="AL33" s="3618"/>
      <c r="AM33" s="3618"/>
      <c r="AN33" s="3718"/>
      <c r="AO33" s="3718"/>
      <c r="AP33" s="3720"/>
      <c r="AQ33" s="755"/>
      <c r="AR33" s="755"/>
    </row>
    <row r="34" spans="1:44" s="1213" customFormat="1" ht="57" customHeight="1" x14ac:dyDescent="0.25">
      <c r="A34" s="700"/>
      <c r="B34" s="148"/>
      <c r="C34" s="315"/>
      <c r="D34" s="148"/>
      <c r="E34" s="148"/>
      <c r="F34" s="148"/>
      <c r="G34" s="3101"/>
      <c r="H34" s="3350"/>
      <c r="I34" s="3030"/>
      <c r="J34" s="3571"/>
      <c r="K34" s="3711"/>
      <c r="L34" s="3714"/>
      <c r="M34" s="804" t="s">
        <v>1109</v>
      </c>
      <c r="N34" s="3716"/>
      <c r="O34" s="2772"/>
      <c r="P34" s="3717"/>
      <c r="Q34" s="2814"/>
      <c r="R34" s="2876"/>
      <c r="S34" s="2879"/>
      <c r="T34" s="2819"/>
      <c r="U34" s="1227">
        <v>41795260</v>
      </c>
      <c r="V34" s="1226">
        <v>6</v>
      </c>
      <c r="W34" s="1991" t="s">
        <v>1110</v>
      </c>
      <c r="X34" s="3541"/>
      <c r="Y34" s="3541"/>
      <c r="Z34" s="3541"/>
      <c r="AA34" s="3541"/>
      <c r="AB34" s="3541"/>
      <c r="AC34" s="3541"/>
      <c r="AD34" s="3541"/>
      <c r="AE34" s="3541"/>
      <c r="AF34" s="3541"/>
      <c r="AG34" s="3541"/>
      <c r="AH34" s="3541"/>
      <c r="AI34" s="3541"/>
      <c r="AJ34" s="3541"/>
      <c r="AK34" s="3541"/>
      <c r="AL34" s="3541"/>
      <c r="AM34" s="3541"/>
      <c r="AN34" s="3719"/>
      <c r="AO34" s="3719"/>
      <c r="AP34" s="3721"/>
      <c r="AQ34" s="755"/>
      <c r="AR34" s="755"/>
    </row>
    <row r="35" spans="1:44" s="1213" customFormat="1" ht="46.5" customHeight="1" x14ac:dyDescent="0.25">
      <c r="A35" s="1214"/>
      <c r="B35" s="484"/>
      <c r="C35" s="1215"/>
      <c r="D35" s="484"/>
      <c r="E35" s="484"/>
      <c r="F35" s="484"/>
      <c r="G35" s="2416"/>
      <c r="H35" s="3722" t="s">
        <v>1061</v>
      </c>
      <c r="I35" s="2303" t="s">
        <v>1050</v>
      </c>
      <c r="J35" s="2724" t="s">
        <v>1051</v>
      </c>
      <c r="K35" s="3018">
        <v>12</v>
      </c>
      <c r="L35" s="3018">
        <v>9</v>
      </c>
      <c r="M35" s="796" t="s">
        <v>1111</v>
      </c>
      <c r="N35" s="3739" t="s">
        <v>1112</v>
      </c>
      <c r="O35" s="3741" t="s">
        <v>1113</v>
      </c>
      <c r="P35" s="3725">
        <f>(U35+U36+U37+U38+U39+U40+U41+U42+U43+U44+U45+U46+U47+U48)/1488175680.78</f>
        <v>0.63572636214840805</v>
      </c>
      <c r="Q35" s="3743">
        <f>+U35+U36+U37+U38+U39+U40+U41+U42+U43++U44+U45+U46+U47+U48+U49+U50+U51+U52+U53+U54+U55+U56+U57</f>
        <v>2323713601.7799997</v>
      </c>
      <c r="R35" s="2259" t="s">
        <v>1114</v>
      </c>
      <c r="S35" s="3036" t="s">
        <v>1115</v>
      </c>
      <c r="T35" s="2303" t="s">
        <v>1050</v>
      </c>
      <c r="U35" s="1225">
        <v>79000000</v>
      </c>
      <c r="V35" s="1224">
        <v>12</v>
      </c>
      <c r="W35" s="1990" t="s">
        <v>1720</v>
      </c>
      <c r="X35" s="3732"/>
      <c r="Y35" s="3732"/>
      <c r="Z35" s="3732"/>
      <c r="AA35" s="3732"/>
      <c r="AB35" s="3732"/>
      <c r="AC35" s="3732"/>
      <c r="AD35" s="3732"/>
      <c r="AE35" s="3732"/>
      <c r="AF35" s="3732"/>
      <c r="AG35" s="3732"/>
      <c r="AH35" s="3732"/>
      <c r="AI35" s="3732"/>
      <c r="AJ35" s="3732"/>
      <c r="AK35" s="3732"/>
      <c r="AL35" s="3732"/>
      <c r="AM35" s="3732"/>
      <c r="AN35" s="2972">
        <v>43832</v>
      </c>
      <c r="AO35" s="2972">
        <v>44195</v>
      </c>
      <c r="AP35" s="3724" t="s">
        <v>1046</v>
      </c>
    </row>
    <row r="36" spans="1:44" s="1213" customFormat="1" ht="46.5" customHeight="1" x14ac:dyDescent="0.25">
      <c r="A36" s="1214"/>
      <c r="B36" s="484"/>
      <c r="C36" s="1215"/>
      <c r="D36" s="484"/>
      <c r="E36" s="484"/>
      <c r="F36" s="484"/>
      <c r="G36" s="2417"/>
      <c r="H36" s="3723"/>
      <c r="I36" s="2303"/>
      <c r="J36" s="2724"/>
      <c r="K36" s="3018"/>
      <c r="L36" s="3018"/>
      <c r="M36" s="796" t="s">
        <v>1116</v>
      </c>
      <c r="N36" s="3739"/>
      <c r="O36" s="3741"/>
      <c r="P36" s="3725"/>
      <c r="Q36" s="3743"/>
      <c r="R36" s="2259"/>
      <c r="S36" s="3733"/>
      <c r="T36" s="2303"/>
      <c r="U36" s="1225">
        <v>53119520</v>
      </c>
      <c r="V36" s="1224">
        <v>3</v>
      </c>
      <c r="W36" s="1992" t="s">
        <v>1725</v>
      </c>
      <c r="X36" s="3732"/>
      <c r="Y36" s="3732"/>
      <c r="Z36" s="3732"/>
      <c r="AA36" s="3732"/>
      <c r="AB36" s="3732"/>
      <c r="AC36" s="3732"/>
      <c r="AD36" s="3732"/>
      <c r="AE36" s="3732"/>
      <c r="AF36" s="3732"/>
      <c r="AG36" s="3732"/>
      <c r="AH36" s="3732"/>
      <c r="AI36" s="3732"/>
      <c r="AJ36" s="3732"/>
      <c r="AK36" s="3732"/>
      <c r="AL36" s="3732"/>
      <c r="AM36" s="3732"/>
      <c r="AN36" s="2973"/>
      <c r="AO36" s="2973"/>
      <c r="AP36" s="3724"/>
    </row>
    <row r="37" spans="1:44" s="1213" customFormat="1" ht="46.5" customHeight="1" x14ac:dyDescent="0.25">
      <c r="A37" s="1214"/>
      <c r="B37" s="484"/>
      <c r="C37" s="1215"/>
      <c r="D37" s="484"/>
      <c r="E37" s="484"/>
      <c r="F37" s="484"/>
      <c r="G37" s="2417"/>
      <c r="H37" s="3723"/>
      <c r="I37" s="2303"/>
      <c r="J37" s="2724"/>
      <c r="K37" s="3018"/>
      <c r="L37" s="3018"/>
      <c r="M37" s="796" t="s">
        <v>1117</v>
      </c>
      <c r="N37" s="3739"/>
      <c r="O37" s="3741"/>
      <c r="P37" s="3725"/>
      <c r="Q37" s="3743"/>
      <c r="R37" s="2259"/>
      <c r="S37" s="3733"/>
      <c r="T37" s="2303"/>
      <c r="U37" s="1225">
        <v>37040000</v>
      </c>
      <c r="V37" s="1224">
        <v>4</v>
      </c>
      <c r="W37" s="1997" t="s">
        <v>1070</v>
      </c>
      <c r="X37" s="3732"/>
      <c r="Y37" s="3732"/>
      <c r="Z37" s="3732"/>
      <c r="AA37" s="3732"/>
      <c r="AB37" s="3732"/>
      <c r="AC37" s="3732"/>
      <c r="AD37" s="3732"/>
      <c r="AE37" s="3732"/>
      <c r="AF37" s="3732"/>
      <c r="AG37" s="3732"/>
      <c r="AH37" s="3732"/>
      <c r="AI37" s="3732"/>
      <c r="AJ37" s="3732"/>
      <c r="AK37" s="3732"/>
      <c r="AL37" s="3732"/>
      <c r="AM37" s="3732"/>
      <c r="AN37" s="2973"/>
      <c r="AO37" s="2973"/>
      <c r="AP37" s="3724"/>
    </row>
    <row r="38" spans="1:44" s="1213" customFormat="1" ht="46.5" customHeight="1" x14ac:dyDescent="0.25">
      <c r="A38" s="1214"/>
      <c r="B38" s="484"/>
      <c r="C38" s="1215"/>
      <c r="D38" s="484"/>
      <c r="E38" s="484"/>
      <c r="F38" s="484"/>
      <c r="G38" s="2417"/>
      <c r="H38" s="3723"/>
      <c r="I38" s="2303"/>
      <c r="J38" s="2724"/>
      <c r="K38" s="3018"/>
      <c r="L38" s="3018"/>
      <c r="M38" s="796" t="s">
        <v>1118</v>
      </c>
      <c r="N38" s="3739"/>
      <c r="O38" s="3741"/>
      <c r="P38" s="3725"/>
      <c r="Q38" s="3743"/>
      <c r="R38" s="2259"/>
      <c r="S38" s="3733"/>
      <c r="T38" s="2303"/>
      <c r="U38" s="1225">
        <v>383864742</v>
      </c>
      <c r="V38" s="1224">
        <v>7</v>
      </c>
      <c r="W38" s="1988" t="s">
        <v>1718</v>
      </c>
      <c r="X38" s="3732"/>
      <c r="Y38" s="3732"/>
      <c r="Z38" s="3732"/>
      <c r="AA38" s="3732"/>
      <c r="AB38" s="3732"/>
      <c r="AC38" s="3732"/>
      <c r="AD38" s="3732"/>
      <c r="AE38" s="3732"/>
      <c r="AF38" s="3732"/>
      <c r="AG38" s="3732"/>
      <c r="AH38" s="3732"/>
      <c r="AI38" s="3732"/>
      <c r="AJ38" s="3732"/>
      <c r="AK38" s="3732"/>
      <c r="AL38" s="3732"/>
      <c r="AM38" s="3732"/>
      <c r="AN38" s="2973"/>
      <c r="AO38" s="2973"/>
      <c r="AP38" s="3724"/>
    </row>
    <row r="39" spans="1:44" s="1213" customFormat="1" ht="46.5" customHeight="1" x14ac:dyDescent="0.25">
      <c r="A39" s="1214"/>
      <c r="B39" s="484"/>
      <c r="C39" s="1215"/>
      <c r="D39" s="484"/>
      <c r="E39" s="484"/>
      <c r="F39" s="484"/>
      <c r="G39" s="2417"/>
      <c r="H39" s="3723"/>
      <c r="I39" s="2303"/>
      <c r="J39" s="2724"/>
      <c r="K39" s="3018"/>
      <c r="L39" s="3018"/>
      <c r="M39" s="807" t="s">
        <v>1119</v>
      </c>
      <c r="N39" s="3739"/>
      <c r="O39" s="3741"/>
      <c r="P39" s="3725"/>
      <c r="Q39" s="3743"/>
      <c r="R39" s="2259"/>
      <c r="S39" s="3733"/>
      <c r="T39" s="2303"/>
      <c r="U39" s="1225">
        <v>30000000</v>
      </c>
      <c r="V39" s="1224">
        <v>9</v>
      </c>
      <c r="W39" s="1989" t="s">
        <v>1719</v>
      </c>
      <c r="X39" s="3732"/>
      <c r="Y39" s="3732"/>
      <c r="Z39" s="3732"/>
      <c r="AA39" s="3732"/>
      <c r="AB39" s="3732"/>
      <c r="AC39" s="3732"/>
      <c r="AD39" s="3732"/>
      <c r="AE39" s="3732"/>
      <c r="AF39" s="3732"/>
      <c r="AG39" s="3732"/>
      <c r="AH39" s="3732"/>
      <c r="AI39" s="3732"/>
      <c r="AJ39" s="3732"/>
      <c r="AK39" s="3732"/>
      <c r="AL39" s="3732"/>
      <c r="AM39" s="3732"/>
      <c r="AN39" s="2973"/>
      <c r="AO39" s="2973"/>
      <c r="AP39" s="3724"/>
    </row>
    <row r="40" spans="1:44" s="1213" customFormat="1" ht="36.75" customHeight="1" x14ac:dyDescent="0.25">
      <c r="A40" s="1214"/>
      <c r="B40" s="484"/>
      <c r="C40" s="1215"/>
      <c r="D40" s="484"/>
      <c r="E40" s="484"/>
      <c r="F40" s="484"/>
      <c r="G40" s="2417"/>
      <c r="H40" s="3723"/>
      <c r="I40" s="2303"/>
      <c r="J40" s="2724"/>
      <c r="K40" s="3018"/>
      <c r="L40" s="3018"/>
      <c r="M40" s="807" t="s">
        <v>1120</v>
      </c>
      <c r="N40" s="3739"/>
      <c r="O40" s="3741"/>
      <c r="P40" s="3725"/>
      <c r="Q40" s="3743"/>
      <c r="R40" s="2259"/>
      <c r="S40" s="3733"/>
      <c r="T40" s="2303"/>
      <c r="U40" s="1225">
        <v>58097994</v>
      </c>
      <c r="V40" s="1224">
        <v>12</v>
      </c>
      <c r="W40" s="1990" t="s">
        <v>1720</v>
      </c>
      <c r="X40" s="3732"/>
      <c r="Y40" s="3732"/>
      <c r="Z40" s="3732"/>
      <c r="AA40" s="3732"/>
      <c r="AB40" s="3732"/>
      <c r="AC40" s="3732"/>
      <c r="AD40" s="3732"/>
      <c r="AE40" s="3732"/>
      <c r="AF40" s="3732"/>
      <c r="AG40" s="3732"/>
      <c r="AH40" s="3732"/>
      <c r="AI40" s="3732"/>
      <c r="AJ40" s="3732"/>
      <c r="AK40" s="3732"/>
      <c r="AL40" s="3732"/>
      <c r="AM40" s="3732"/>
      <c r="AN40" s="2973"/>
      <c r="AO40" s="2973"/>
      <c r="AP40" s="3724"/>
    </row>
    <row r="41" spans="1:44" s="1213" customFormat="1" ht="46.5" customHeight="1" x14ac:dyDescent="0.25">
      <c r="A41" s="1214"/>
      <c r="B41" s="484"/>
      <c r="C41" s="1215"/>
      <c r="D41" s="484"/>
      <c r="E41" s="484"/>
      <c r="F41" s="484"/>
      <c r="G41" s="2417"/>
      <c r="H41" s="3723"/>
      <c r="I41" s="2303"/>
      <c r="J41" s="2724"/>
      <c r="K41" s="3018"/>
      <c r="L41" s="3018"/>
      <c r="M41" s="807" t="s">
        <v>1121</v>
      </c>
      <c r="N41" s="3739"/>
      <c r="O41" s="3741"/>
      <c r="P41" s="3725"/>
      <c r="Q41" s="3743"/>
      <c r="R41" s="2259"/>
      <c r="S41" s="3733"/>
      <c r="T41" s="2303"/>
      <c r="U41" s="1225">
        <v>1440769.3</v>
      </c>
      <c r="V41" s="1224">
        <v>16</v>
      </c>
      <c r="W41" s="1989" t="s">
        <v>1721</v>
      </c>
      <c r="X41" s="3732"/>
      <c r="Y41" s="3732"/>
      <c r="Z41" s="3732"/>
      <c r="AA41" s="3732"/>
      <c r="AB41" s="3732"/>
      <c r="AC41" s="3732"/>
      <c r="AD41" s="3732"/>
      <c r="AE41" s="3732"/>
      <c r="AF41" s="3732"/>
      <c r="AG41" s="3732"/>
      <c r="AH41" s="3732"/>
      <c r="AI41" s="3732"/>
      <c r="AJ41" s="3732"/>
      <c r="AK41" s="3732"/>
      <c r="AL41" s="3732"/>
      <c r="AM41" s="3732"/>
      <c r="AN41" s="2973"/>
      <c r="AO41" s="2973"/>
      <c r="AP41" s="3724"/>
    </row>
    <row r="42" spans="1:44" s="1213" customFormat="1" ht="42" customHeight="1" x14ac:dyDescent="0.25">
      <c r="A42" s="1214"/>
      <c r="B42" s="484"/>
      <c r="C42" s="1215"/>
      <c r="D42" s="484"/>
      <c r="E42" s="484"/>
      <c r="F42" s="484"/>
      <c r="G42" s="2417"/>
      <c r="H42" s="3723"/>
      <c r="I42" s="2303"/>
      <c r="J42" s="2724"/>
      <c r="K42" s="3018"/>
      <c r="L42" s="3018"/>
      <c r="M42" s="807" t="s">
        <v>1122</v>
      </c>
      <c r="N42" s="3739"/>
      <c r="O42" s="3741"/>
      <c r="P42" s="3725"/>
      <c r="Q42" s="3743"/>
      <c r="R42" s="2259"/>
      <c r="S42" s="3733"/>
      <c r="T42" s="2303"/>
      <c r="U42" s="1225">
        <v>4974259.8600000003</v>
      </c>
      <c r="V42" s="1224">
        <v>17</v>
      </c>
      <c r="W42" s="1989" t="s">
        <v>1722</v>
      </c>
      <c r="X42" s="3732"/>
      <c r="Y42" s="3732"/>
      <c r="Z42" s="3732"/>
      <c r="AA42" s="3732"/>
      <c r="AB42" s="3732"/>
      <c r="AC42" s="3732"/>
      <c r="AD42" s="3732"/>
      <c r="AE42" s="3732"/>
      <c r="AF42" s="3732"/>
      <c r="AG42" s="3732"/>
      <c r="AH42" s="3732"/>
      <c r="AI42" s="3732"/>
      <c r="AJ42" s="3732"/>
      <c r="AK42" s="3732"/>
      <c r="AL42" s="3732"/>
      <c r="AM42" s="3732"/>
      <c r="AN42" s="2973"/>
      <c r="AO42" s="2973"/>
      <c r="AP42" s="3724"/>
    </row>
    <row r="43" spans="1:44" s="1213" customFormat="1" ht="74.25" customHeight="1" x14ac:dyDescent="0.25">
      <c r="A43" s="1214"/>
      <c r="B43" s="484"/>
      <c r="C43" s="1215"/>
      <c r="D43" s="484"/>
      <c r="E43" s="484"/>
      <c r="F43" s="484"/>
      <c r="G43" s="2417"/>
      <c r="H43" s="3723"/>
      <c r="I43" s="2303"/>
      <c r="J43" s="2724"/>
      <c r="K43" s="3018"/>
      <c r="L43" s="3018"/>
      <c r="M43" s="807" t="s">
        <v>1123</v>
      </c>
      <c r="N43" s="3739"/>
      <c r="O43" s="3741"/>
      <c r="P43" s="3725"/>
      <c r="Q43" s="3743"/>
      <c r="R43" s="2259"/>
      <c r="S43" s="3733"/>
      <c r="T43" s="2303"/>
      <c r="U43" s="1225">
        <v>10427870</v>
      </c>
      <c r="V43" s="1224">
        <v>18</v>
      </c>
      <c r="W43" s="1989" t="s">
        <v>1722</v>
      </c>
      <c r="X43" s="3732"/>
      <c r="Y43" s="3732"/>
      <c r="Z43" s="3732"/>
      <c r="AA43" s="3732"/>
      <c r="AB43" s="3732"/>
      <c r="AC43" s="3732"/>
      <c r="AD43" s="3732"/>
      <c r="AE43" s="3732"/>
      <c r="AF43" s="3732"/>
      <c r="AG43" s="3732"/>
      <c r="AH43" s="3732"/>
      <c r="AI43" s="3732"/>
      <c r="AJ43" s="3732"/>
      <c r="AK43" s="3732"/>
      <c r="AL43" s="3732"/>
      <c r="AM43" s="3732"/>
      <c r="AN43" s="2973"/>
      <c r="AO43" s="2973"/>
      <c r="AP43" s="3724"/>
    </row>
    <row r="44" spans="1:44" s="1213" customFormat="1" ht="44.25" customHeight="1" x14ac:dyDescent="0.25">
      <c r="A44" s="1214"/>
      <c r="B44" s="484"/>
      <c r="C44" s="1215"/>
      <c r="D44" s="484"/>
      <c r="E44" s="484"/>
      <c r="F44" s="484"/>
      <c r="G44" s="2417"/>
      <c r="H44" s="3723"/>
      <c r="I44" s="2303"/>
      <c r="J44" s="2724"/>
      <c r="K44" s="3018"/>
      <c r="L44" s="3018"/>
      <c r="M44" s="807" t="s">
        <v>1124</v>
      </c>
      <c r="N44" s="3739"/>
      <c r="O44" s="3741"/>
      <c r="P44" s="3725"/>
      <c r="Q44" s="3743"/>
      <c r="R44" s="2259"/>
      <c r="S44" s="3733"/>
      <c r="T44" s="2303"/>
      <c r="U44" s="1225">
        <v>7527628.4199999999</v>
      </c>
      <c r="V44" s="1224">
        <v>19</v>
      </c>
      <c r="W44" s="1989" t="s">
        <v>1723</v>
      </c>
      <c r="X44" s="3732"/>
      <c r="Y44" s="3732"/>
      <c r="Z44" s="3732"/>
      <c r="AA44" s="3732"/>
      <c r="AB44" s="3732"/>
      <c r="AC44" s="3732"/>
      <c r="AD44" s="3732"/>
      <c r="AE44" s="3732"/>
      <c r="AF44" s="3732"/>
      <c r="AG44" s="3732"/>
      <c r="AH44" s="3732"/>
      <c r="AI44" s="3732"/>
      <c r="AJ44" s="3732"/>
      <c r="AK44" s="3732"/>
      <c r="AL44" s="3732"/>
      <c r="AM44" s="3732"/>
      <c r="AN44" s="2973"/>
      <c r="AO44" s="2973"/>
      <c r="AP44" s="3724"/>
    </row>
    <row r="45" spans="1:44" s="1213" customFormat="1" ht="46.5" customHeight="1" x14ac:dyDescent="0.25">
      <c r="A45" s="1214"/>
      <c r="B45" s="484"/>
      <c r="C45" s="1215"/>
      <c r="D45" s="484"/>
      <c r="E45" s="484"/>
      <c r="F45" s="484"/>
      <c r="G45" s="2417"/>
      <c r="H45" s="3723"/>
      <c r="I45" s="2303"/>
      <c r="J45" s="2724"/>
      <c r="K45" s="3018"/>
      <c r="L45" s="3018"/>
      <c r="M45" s="807" t="s">
        <v>1125</v>
      </c>
      <c r="N45" s="3739"/>
      <c r="O45" s="3741"/>
      <c r="P45" s="3725"/>
      <c r="Q45" s="3743"/>
      <c r="R45" s="2259"/>
      <c r="S45" s="3733"/>
      <c r="T45" s="2303"/>
      <c r="U45" s="1225">
        <v>2525593.2000000002</v>
      </c>
      <c r="V45" s="1224">
        <v>20</v>
      </c>
      <c r="W45" s="1989" t="s">
        <v>1724</v>
      </c>
      <c r="X45" s="3732"/>
      <c r="Y45" s="3732"/>
      <c r="Z45" s="3732"/>
      <c r="AA45" s="3732"/>
      <c r="AB45" s="3732"/>
      <c r="AC45" s="3732"/>
      <c r="AD45" s="3732"/>
      <c r="AE45" s="3732"/>
      <c r="AF45" s="3732"/>
      <c r="AG45" s="3732"/>
      <c r="AH45" s="3732"/>
      <c r="AI45" s="3732"/>
      <c r="AJ45" s="3732"/>
      <c r="AK45" s="3732"/>
      <c r="AL45" s="3732"/>
      <c r="AM45" s="3732"/>
      <c r="AN45" s="2973"/>
      <c r="AO45" s="2973"/>
      <c r="AP45" s="3724"/>
    </row>
    <row r="46" spans="1:44" s="1213" customFormat="1" ht="46.5" customHeight="1" x14ac:dyDescent="0.25">
      <c r="A46" s="1214"/>
      <c r="B46" s="484"/>
      <c r="C46" s="1215"/>
      <c r="D46" s="484"/>
      <c r="E46" s="484"/>
      <c r="F46" s="484"/>
      <c r="G46" s="2417"/>
      <c r="H46" s="3723"/>
      <c r="I46" s="2303"/>
      <c r="J46" s="2724"/>
      <c r="K46" s="3018"/>
      <c r="L46" s="3018"/>
      <c r="M46" s="807" t="s">
        <v>1126</v>
      </c>
      <c r="N46" s="3739"/>
      <c r="O46" s="3741"/>
      <c r="P46" s="3725"/>
      <c r="Q46" s="3743"/>
      <c r="R46" s="2259"/>
      <c r="S46" s="3733"/>
      <c r="T46" s="2303"/>
      <c r="U46" s="1225">
        <v>23454045</v>
      </c>
      <c r="V46" s="1224">
        <v>3</v>
      </c>
      <c r="W46" s="1992" t="s">
        <v>1725</v>
      </c>
      <c r="X46" s="3732"/>
      <c r="Y46" s="3732"/>
      <c r="Z46" s="3732"/>
      <c r="AA46" s="3732"/>
      <c r="AB46" s="3732"/>
      <c r="AC46" s="3732"/>
      <c r="AD46" s="3732"/>
      <c r="AE46" s="3732"/>
      <c r="AF46" s="3732"/>
      <c r="AG46" s="3732"/>
      <c r="AH46" s="3732"/>
      <c r="AI46" s="3732"/>
      <c r="AJ46" s="3732"/>
      <c r="AK46" s="3732"/>
      <c r="AL46" s="3732"/>
      <c r="AM46" s="3732"/>
      <c r="AN46" s="2973"/>
      <c r="AO46" s="2973"/>
      <c r="AP46" s="3724"/>
    </row>
    <row r="47" spans="1:44" s="1213" customFormat="1" ht="46.5" customHeight="1" x14ac:dyDescent="0.25">
      <c r="A47" s="1214"/>
      <c r="B47" s="484"/>
      <c r="C47" s="1215"/>
      <c r="D47" s="484"/>
      <c r="E47" s="484"/>
      <c r="F47" s="484"/>
      <c r="G47" s="2417"/>
      <c r="H47" s="3723"/>
      <c r="I47" s="2303"/>
      <c r="J47" s="2724"/>
      <c r="K47" s="3018"/>
      <c r="L47" s="3018"/>
      <c r="M47" s="807" t="s">
        <v>1127</v>
      </c>
      <c r="N47" s="3739"/>
      <c r="O47" s="3741"/>
      <c r="P47" s="3725"/>
      <c r="Q47" s="3743"/>
      <c r="R47" s="2259"/>
      <c r="S47" s="3733"/>
      <c r="T47" s="2303"/>
      <c r="U47" s="1225">
        <v>38600090</v>
      </c>
      <c r="V47" s="1224">
        <v>4</v>
      </c>
      <c r="W47" s="1989" t="s">
        <v>1070</v>
      </c>
      <c r="X47" s="3732"/>
      <c r="Y47" s="3732"/>
      <c r="Z47" s="3732"/>
      <c r="AA47" s="3732"/>
      <c r="AB47" s="3732"/>
      <c r="AC47" s="3732"/>
      <c r="AD47" s="3732"/>
      <c r="AE47" s="3732"/>
      <c r="AF47" s="3732"/>
      <c r="AG47" s="3732"/>
      <c r="AH47" s="3732"/>
      <c r="AI47" s="3732"/>
      <c r="AJ47" s="3732"/>
      <c r="AK47" s="3732"/>
      <c r="AL47" s="3732"/>
      <c r="AM47" s="3732"/>
      <c r="AN47" s="2973"/>
      <c r="AO47" s="2973"/>
      <c r="AP47" s="3724"/>
    </row>
    <row r="48" spans="1:44" s="1213" customFormat="1" ht="46.5" customHeight="1" x14ac:dyDescent="0.25">
      <c r="A48" s="1214"/>
      <c r="B48" s="484"/>
      <c r="C48" s="1215"/>
      <c r="D48" s="484"/>
      <c r="E48" s="484"/>
      <c r="F48" s="484"/>
      <c r="G48" s="2417"/>
      <c r="H48" s="3723"/>
      <c r="I48" s="2303"/>
      <c r="J48" s="2724"/>
      <c r="K48" s="3018"/>
      <c r="L48" s="3018"/>
      <c r="M48" s="807" t="s">
        <v>1128</v>
      </c>
      <c r="N48" s="3739"/>
      <c r="O48" s="3741"/>
      <c r="P48" s="3725"/>
      <c r="Q48" s="3743"/>
      <c r="R48" s="2259"/>
      <c r="S48" s="3733"/>
      <c r="T48" s="2303"/>
      <c r="U48" s="1225">
        <v>216000000</v>
      </c>
      <c r="V48" s="1224">
        <v>6</v>
      </c>
      <c r="W48" s="1989" t="s">
        <v>1110</v>
      </c>
      <c r="X48" s="3732"/>
      <c r="Y48" s="3732"/>
      <c r="Z48" s="3732"/>
      <c r="AA48" s="3732"/>
      <c r="AB48" s="3732"/>
      <c r="AC48" s="3732"/>
      <c r="AD48" s="3732"/>
      <c r="AE48" s="3732"/>
      <c r="AF48" s="3732"/>
      <c r="AG48" s="3732"/>
      <c r="AH48" s="3732"/>
      <c r="AI48" s="3732"/>
      <c r="AJ48" s="3732"/>
      <c r="AK48" s="3732"/>
      <c r="AL48" s="3732"/>
      <c r="AM48" s="3732"/>
      <c r="AN48" s="2973"/>
      <c r="AO48" s="2973"/>
      <c r="AP48" s="3724"/>
    </row>
    <row r="49" spans="1:42" s="1213" customFormat="1" ht="43.5" customHeight="1" x14ac:dyDescent="0.25">
      <c r="A49" s="1214"/>
      <c r="B49" s="484"/>
      <c r="C49" s="1215"/>
      <c r="D49" s="484"/>
      <c r="E49" s="484"/>
      <c r="F49" s="484"/>
      <c r="G49" s="2417"/>
      <c r="H49" s="3723"/>
      <c r="I49" s="2303"/>
      <c r="J49" s="2724" t="s">
        <v>1062</v>
      </c>
      <c r="K49" s="3018">
        <v>12</v>
      </c>
      <c r="L49" s="3018">
        <v>0</v>
      </c>
      <c r="M49" s="807" t="s">
        <v>1129</v>
      </c>
      <c r="N49" s="3739"/>
      <c r="O49" s="3741"/>
      <c r="P49" s="3725">
        <f>+(U49+U50+U51)/1488175680.78</f>
        <v>0.22277656077959443</v>
      </c>
      <c r="Q49" s="3743"/>
      <c r="R49" s="2259"/>
      <c r="S49" s="3733"/>
      <c r="T49" s="2303"/>
      <c r="U49" s="1242">
        <v>113000000</v>
      </c>
      <c r="V49" s="1224">
        <v>12</v>
      </c>
      <c r="W49" s="1990" t="s">
        <v>1720</v>
      </c>
      <c r="X49" s="3732"/>
      <c r="Y49" s="3732"/>
      <c r="Z49" s="3732"/>
      <c r="AA49" s="3732"/>
      <c r="AB49" s="3732"/>
      <c r="AC49" s="3732"/>
      <c r="AD49" s="3732"/>
      <c r="AE49" s="3732"/>
      <c r="AF49" s="3732"/>
      <c r="AG49" s="3732"/>
      <c r="AH49" s="3732"/>
      <c r="AI49" s="3732"/>
      <c r="AJ49" s="3732"/>
      <c r="AK49" s="3732"/>
      <c r="AL49" s="3732"/>
      <c r="AM49" s="3732"/>
      <c r="AN49" s="2973"/>
      <c r="AO49" s="2973"/>
      <c r="AP49" s="3724"/>
    </row>
    <row r="50" spans="1:42" s="1213" customFormat="1" ht="43.5" customHeight="1" x14ac:dyDescent="0.25">
      <c r="A50" s="1214"/>
      <c r="B50" s="484"/>
      <c r="C50" s="1215"/>
      <c r="D50" s="484"/>
      <c r="E50" s="484"/>
      <c r="F50" s="484"/>
      <c r="G50" s="2417"/>
      <c r="H50" s="3723"/>
      <c r="I50" s="2303"/>
      <c r="J50" s="2724"/>
      <c r="K50" s="3018"/>
      <c r="L50" s="3018"/>
      <c r="M50" s="807" t="s">
        <v>1130</v>
      </c>
      <c r="N50" s="3739"/>
      <c r="O50" s="3741"/>
      <c r="P50" s="3725"/>
      <c r="Q50" s="3743"/>
      <c r="R50" s="2259"/>
      <c r="S50" s="3733"/>
      <c r="T50" s="2303"/>
      <c r="U50" s="1242">
        <v>77772574</v>
      </c>
      <c r="V50" s="1224">
        <v>4</v>
      </c>
      <c r="W50" s="1989" t="s">
        <v>1070</v>
      </c>
      <c r="X50" s="3732"/>
      <c r="Y50" s="3732"/>
      <c r="Z50" s="3732"/>
      <c r="AA50" s="3732"/>
      <c r="AB50" s="3732"/>
      <c r="AC50" s="3732"/>
      <c r="AD50" s="3732"/>
      <c r="AE50" s="3732"/>
      <c r="AF50" s="3732"/>
      <c r="AG50" s="3732"/>
      <c r="AH50" s="3732"/>
      <c r="AI50" s="3732"/>
      <c r="AJ50" s="3732"/>
      <c r="AK50" s="3732"/>
      <c r="AL50" s="3732"/>
      <c r="AM50" s="3732"/>
      <c r="AN50" s="2973"/>
      <c r="AO50" s="2973"/>
      <c r="AP50" s="3724"/>
    </row>
    <row r="51" spans="1:42" s="1213" customFormat="1" ht="36" customHeight="1" x14ac:dyDescent="0.25">
      <c r="A51" s="1214"/>
      <c r="B51" s="484"/>
      <c r="C51" s="1215"/>
      <c r="D51" s="484"/>
      <c r="E51" s="484"/>
      <c r="F51" s="484"/>
      <c r="G51" s="2682"/>
      <c r="H51" s="3723"/>
      <c r="I51" s="2723"/>
      <c r="J51" s="3671"/>
      <c r="K51" s="3018"/>
      <c r="L51" s="3018"/>
      <c r="M51" s="807" t="s">
        <v>1131</v>
      </c>
      <c r="N51" s="3739"/>
      <c r="O51" s="3741"/>
      <c r="P51" s="3725"/>
      <c r="Q51" s="3743"/>
      <c r="R51" s="2259"/>
      <c r="S51" s="3037"/>
      <c r="T51" s="2303"/>
      <c r="U51" s="1242">
        <v>140758086</v>
      </c>
      <c r="V51" s="1224">
        <v>7</v>
      </c>
      <c r="W51" s="1988" t="s">
        <v>1718</v>
      </c>
      <c r="X51" s="3732"/>
      <c r="Y51" s="3732"/>
      <c r="Z51" s="3732"/>
      <c r="AA51" s="3732"/>
      <c r="AB51" s="3732"/>
      <c r="AC51" s="3732"/>
      <c r="AD51" s="3732"/>
      <c r="AE51" s="3732"/>
      <c r="AF51" s="3732"/>
      <c r="AG51" s="3732"/>
      <c r="AH51" s="3732"/>
      <c r="AI51" s="3732"/>
      <c r="AJ51" s="3732"/>
      <c r="AK51" s="3732"/>
      <c r="AL51" s="3732"/>
      <c r="AM51" s="3732"/>
      <c r="AN51" s="2973"/>
      <c r="AO51" s="2973"/>
      <c r="AP51" s="3724"/>
    </row>
    <row r="52" spans="1:42" s="1213" customFormat="1" ht="64.5" customHeight="1" x14ac:dyDescent="0.25">
      <c r="A52" s="1214"/>
      <c r="B52" s="484"/>
      <c r="C52" s="1215"/>
      <c r="D52" s="484"/>
      <c r="E52" s="484"/>
      <c r="F52" s="484"/>
      <c r="G52" s="2416"/>
      <c r="H52" s="2852" t="s">
        <v>1037</v>
      </c>
      <c r="I52" s="2745" t="s">
        <v>1038</v>
      </c>
      <c r="J52" s="2745" t="s">
        <v>1039</v>
      </c>
      <c r="K52" s="2196">
        <v>12</v>
      </c>
      <c r="L52" s="2196">
        <v>6</v>
      </c>
      <c r="M52" s="807" t="s">
        <v>1132</v>
      </c>
      <c r="N52" s="3739"/>
      <c r="O52" s="3741"/>
      <c r="P52" s="3725">
        <f>+(U52+U53+U54+U55)/(U12+U13+U14+U29+U52+U53+U54+U55)</f>
        <v>0.65982409639813189</v>
      </c>
      <c r="Q52" s="3743"/>
      <c r="R52" s="2259"/>
      <c r="S52" s="3726" t="s">
        <v>1133</v>
      </c>
      <c r="T52" s="3729" t="s">
        <v>1038</v>
      </c>
      <c r="U52" s="1242">
        <v>7260000</v>
      </c>
      <c r="V52" s="1224">
        <v>12</v>
      </c>
      <c r="W52" s="1990" t="s">
        <v>1720</v>
      </c>
      <c r="X52" s="3732"/>
      <c r="Y52" s="3732"/>
      <c r="Z52" s="3732"/>
      <c r="AA52" s="3732"/>
      <c r="AB52" s="3732"/>
      <c r="AC52" s="3732"/>
      <c r="AD52" s="3732"/>
      <c r="AE52" s="3732"/>
      <c r="AF52" s="3732"/>
      <c r="AG52" s="3732"/>
      <c r="AH52" s="3732"/>
      <c r="AI52" s="3732"/>
      <c r="AJ52" s="3732"/>
      <c r="AK52" s="3732"/>
      <c r="AL52" s="3732"/>
      <c r="AM52" s="3732"/>
      <c r="AN52" s="2973"/>
      <c r="AO52" s="2973"/>
      <c r="AP52" s="3724"/>
    </row>
    <row r="53" spans="1:42" s="1213" customFormat="1" ht="64.5" customHeight="1" x14ac:dyDescent="0.25">
      <c r="A53" s="1214"/>
      <c r="B53" s="484"/>
      <c r="C53" s="1215"/>
      <c r="D53" s="484"/>
      <c r="E53" s="484"/>
      <c r="F53" s="484"/>
      <c r="G53" s="2417"/>
      <c r="H53" s="2852"/>
      <c r="I53" s="2745"/>
      <c r="J53" s="2745"/>
      <c r="K53" s="2197"/>
      <c r="L53" s="2197"/>
      <c r="M53" s="807" t="s">
        <v>1134</v>
      </c>
      <c r="N53" s="3739"/>
      <c r="O53" s="3741"/>
      <c r="P53" s="3725"/>
      <c r="Q53" s="3743"/>
      <c r="R53" s="2259"/>
      <c r="S53" s="3727"/>
      <c r="T53" s="3730"/>
      <c r="U53" s="1242">
        <v>224301000</v>
      </c>
      <c r="V53" s="1224">
        <v>7</v>
      </c>
      <c r="W53" s="1988" t="s">
        <v>1718</v>
      </c>
      <c r="X53" s="3732"/>
      <c r="Y53" s="3732"/>
      <c r="Z53" s="3732"/>
      <c r="AA53" s="3732"/>
      <c r="AB53" s="3732"/>
      <c r="AC53" s="3732"/>
      <c r="AD53" s="3732"/>
      <c r="AE53" s="3732"/>
      <c r="AF53" s="3732"/>
      <c r="AG53" s="3732"/>
      <c r="AH53" s="3732"/>
      <c r="AI53" s="3732"/>
      <c r="AJ53" s="3732"/>
      <c r="AK53" s="3732"/>
      <c r="AL53" s="3732"/>
      <c r="AM53" s="3732"/>
      <c r="AN53" s="2973"/>
      <c r="AO53" s="2973"/>
      <c r="AP53" s="3724"/>
    </row>
    <row r="54" spans="1:42" s="1213" customFormat="1" ht="64.5" customHeight="1" x14ac:dyDescent="0.25">
      <c r="A54" s="1214"/>
      <c r="B54" s="484"/>
      <c r="C54" s="1215"/>
      <c r="D54" s="484"/>
      <c r="E54" s="484"/>
      <c r="F54" s="484"/>
      <c r="G54" s="2417"/>
      <c r="H54" s="2852"/>
      <c r="I54" s="2745"/>
      <c r="J54" s="2745"/>
      <c r="K54" s="2197"/>
      <c r="L54" s="2197"/>
      <c r="M54" s="807" t="s">
        <v>1135</v>
      </c>
      <c r="N54" s="3739"/>
      <c r="O54" s="3741"/>
      <c r="P54" s="3725"/>
      <c r="Q54" s="3743"/>
      <c r="R54" s="2259"/>
      <c r="S54" s="3727"/>
      <c r="T54" s="3730"/>
      <c r="U54" s="1242">
        <v>723418430</v>
      </c>
      <c r="V54" s="1224">
        <v>5</v>
      </c>
      <c r="W54" s="1989" t="s">
        <v>1136</v>
      </c>
      <c r="X54" s="3732"/>
      <c r="Y54" s="3732"/>
      <c r="Z54" s="3732"/>
      <c r="AA54" s="3732"/>
      <c r="AB54" s="3732"/>
      <c r="AC54" s="3732"/>
      <c r="AD54" s="3732"/>
      <c r="AE54" s="3732"/>
      <c r="AF54" s="3732"/>
      <c r="AG54" s="3732"/>
      <c r="AH54" s="3732"/>
      <c r="AI54" s="3732"/>
      <c r="AJ54" s="3732"/>
      <c r="AK54" s="3732"/>
      <c r="AL54" s="3732"/>
      <c r="AM54" s="3732"/>
      <c r="AN54" s="2973"/>
      <c r="AO54" s="2973"/>
      <c r="AP54" s="3724"/>
    </row>
    <row r="55" spans="1:42" s="1213" customFormat="1" ht="64.5" customHeight="1" x14ac:dyDescent="0.25">
      <c r="A55" s="1214"/>
      <c r="B55" s="484"/>
      <c r="C55" s="1215"/>
      <c r="D55" s="484"/>
      <c r="E55" s="484"/>
      <c r="F55" s="484"/>
      <c r="G55" s="2682"/>
      <c r="H55" s="2852"/>
      <c r="I55" s="2745"/>
      <c r="J55" s="2745"/>
      <c r="K55" s="3736"/>
      <c r="L55" s="3736"/>
      <c r="M55" s="807" t="s">
        <v>1137</v>
      </c>
      <c r="N55" s="3739"/>
      <c r="O55" s="3741"/>
      <c r="P55" s="3725"/>
      <c r="Q55" s="3743"/>
      <c r="R55" s="2259"/>
      <c r="S55" s="3728"/>
      <c r="T55" s="3731"/>
      <c r="U55" s="1242">
        <v>35631000</v>
      </c>
      <c r="V55" s="1224">
        <v>6</v>
      </c>
      <c r="W55" s="1989" t="s">
        <v>1138</v>
      </c>
      <c r="X55" s="3732"/>
      <c r="Y55" s="3732"/>
      <c r="Z55" s="3732"/>
      <c r="AA55" s="3732"/>
      <c r="AB55" s="3732"/>
      <c r="AC55" s="3732"/>
      <c r="AD55" s="3732"/>
      <c r="AE55" s="3732"/>
      <c r="AF55" s="3732"/>
      <c r="AG55" s="3732"/>
      <c r="AH55" s="3732"/>
      <c r="AI55" s="3732"/>
      <c r="AJ55" s="3732"/>
      <c r="AK55" s="3732"/>
      <c r="AL55" s="3732"/>
      <c r="AM55" s="3732"/>
      <c r="AN55" s="2973"/>
      <c r="AO55" s="2973"/>
      <c r="AP55" s="3724"/>
    </row>
    <row r="56" spans="1:42" s="1213" customFormat="1" ht="83.25" customHeight="1" x14ac:dyDescent="0.25">
      <c r="A56" s="1214"/>
      <c r="B56" s="484"/>
      <c r="C56" s="1215"/>
      <c r="D56" s="484"/>
      <c r="E56" s="484"/>
      <c r="F56" s="484"/>
      <c r="G56" s="2416"/>
      <c r="H56" s="2749" t="s">
        <v>1083</v>
      </c>
      <c r="I56" s="3748" t="s">
        <v>1084</v>
      </c>
      <c r="J56" s="2827" t="s">
        <v>1085</v>
      </c>
      <c r="K56" s="3734">
        <v>1</v>
      </c>
      <c r="L56" s="3734" t="s">
        <v>1086</v>
      </c>
      <c r="M56" s="807" t="s">
        <v>1139</v>
      </c>
      <c r="N56" s="3739"/>
      <c r="O56" s="3741"/>
      <c r="P56" s="2502">
        <f>+(U56+U57)/(U25+U26+U27+U56+U57)</f>
        <v>0.63793103448275867</v>
      </c>
      <c r="Q56" s="3743"/>
      <c r="R56" s="2259"/>
      <c r="S56" s="3726" t="s">
        <v>1140</v>
      </c>
      <c r="T56" s="3737" t="s">
        <v>1084</v>
      </c>
      <c r="U56" s="1242">
        <v>34500000</v>
      </c>
      <c r="V56" s="1224">
        <v>12</v>
      </c>
      <c r="W56" s="1990" t="s">
        <v>1720</v>
      </c>
      <c r="X56" s="3732"/>
      <c r="Y56" s="3732"/>
      <c r="Z56" s="3732"/>
      <c r="AA56" s="3732"/>
      <c r="AB56" s="3732"/>
      <c r="AC56" s="3732"/>
      <c r="AD56" s="3732"/>
      <c r="AE56" s="3732"/>
      <c r="AF56" s="3732"/>
      <c r="AG56" s="3732"/>
      <c r="AH56" s="3732"/>
      <c r="AI56" s="3732"/>
      <c r="AJ56" s="3732"/>
      <c r="AK56" s="3732"/>
      <c r="AL56" s="3732"/>
      <c r="AM56" s="3732"/>
      <c r="AN56" s="2973"/>
      <c r="AO56" s="2973"/>
      <c r="AP56" s="3724"/>
    </row>
    <row r="57" spans="1:42" s="1213" customFormat="1" ht="77.25" customHeight="1" x14ac:dyDescent="0.25">
      <c r="A57" s="1214"/>
      <c r="B57" s="484"/>
      <c r="C57" s="1215"/>
      <c r="D57" s="484"/>
      <c r="E57" s="484"/>
      <c r="F57" s="484"/>
      <c r="G57" s="2682"/>
      <c r="H57" s="2750"/>
      <c r="I57" s="3748"/>
      <c r="J57" s="3749"/>
      <c r="K57" s="3735"/>
      <c r="L57" s="3735"/>
      <c r="M57" s="807" t="s">
        <v>1141</v>
      </c>
      <c r="N57" s="3740"/>
      <c r="O57" s="3742"/>
      <c r="P57" s="3545"/>
      <c r="Q57" s="3744"/>
      <c r="R57" s="2259"/>
      <c r="S57" s="3728"/>
      <c r="T57" s="3738"/>
      <c r="U57" s="1242">
        <v>21000000</v>
      </c>
      <c r="V57" s="1224">
        <v>3</v>
      </c>
      <c r="W57" s="1992" t="s">
        <v>1725</v>
      </c>
      <c r="X57" s="3732"/>
      <c r="Y57" s="3732"/>
      <c r="Z57" s="3732"/>
      <c r="AA57" s="3732"/>
      <c r="AB57" s="3732"/>
      <c r="AC57" s="3732"/>
      <c r="AD57" s="3732"/>
      <c r="AE57" s="3732"/>
      <c r="AF57" s="3732"/>
      <c r="AG57" s="3732"/>
      <c r="AH57" s="3732"/>
      <c r="AI57" s="3732"/>
      <c r="AJ57" s="3732"/>
      <c r="AK57" s="3732"/>
      <c r="AL57" s="3732"/>
      <c r="AM57" s="3732"/>
      <c r="AN57" s="2974"/>
      <c r="AO57" s="2974"/>
      <c r="AP57" s="3724"/>
    </row>
    <row r="58" spans="1:42" ht="15.75" customHeight="1" x14ac:dyDescent="0.25">
      <c r="A58" s="670"/>
      <c r="B58" s="671"/>
      <c r="C58" s="672"/>
      <c r="D58" s="1243">
        <v>40</v>
      </c>
      <c r="E58" s="1244" t="s">
        <v>1142</v>
      </c>
      <c r="F58" s="1245"/>
      <c r="G58" s="1246"/>
      <c r="H58" s="1246"/>
      <c r="I58" s="1245"/>
      <c r="J58" s="1245"/>
      <c r="K58" s="1247"/>
      <c r="L58" s="1247"/>
      <c r="M58" s="1248"/>
      <c r="N58" s="1246"/>
      <c r="O58" s="1249"/>
      <c r="P58" s="1250"/>
      <c r="Q58" s="1251"/>
      <c r="R58" s="1202"/>
      <c r="S58" s="1202"/>
      <c r="T58" s="208"/>
      <c r="U58" s="208"/>
      <c r="V58" s="1252"/>
      <c r="W58" s="1998"/>
      <c r="X58" s="1204"/>
      <c r="Y58" s="1204"/>
      <c r="Z58" s="1204"/>
      <c r="AA58" s="1204"/>
      <c r="AB58" s="1204"/>
      <c r="AC58" s="1204"/>
      <c r="AD58" s="1204"/>
      <c r="AE58" s="1204"/>
      <c r="AF58" s="1204"/>
      <c r="AG58" s="1204"/>
      <c r="AH58" s="1204"/>
      <c r="AI58" s="1204"/>
      <c r="AJ58" s="1204"/>
      <c r="AK58" s="1204"/>
      <c r="AL58" s="1204"/>
      <c r="AM58" s="1204"/>
      <c r="AN58" s="1204"/>
      <c r="AO58" s="1204"/>
      <c r="AP58" s="1200"/>
    </row>
    <row r="59" spans="1:42" s="1213" customFormat="1" ht="77.25" customHeight="1" x14ac:dyDescent="0.25">
      <c r="A59" s="1206"/>
      <c r="B59" s="1207"/>
      <c r="C59" s="1208"/>
      <c r="D59" s="3661"/>
      <c r="E59" s="3663"/>
      <c r="F59" s="1209"/>
      <c r="G59" s="2852">
        <v>4302075</v>
      </c>
      <c r="H59" s="3747" t="s">
        <v>1143</v>
      </c>
      <c r="I59" s="2303" t="s">
        <v>1144</v>
      </c>
      <c r="J59" s="2303" t="s">
        <v>1145</v>
      </c>
      <c r="K59" s="2706">
        <v>25</v>
      </c>
      <c r="L59" s="3751">
        <v>19</v>
      </c>
      <c r="M59" s="807" t="s">
        <v>1146</v>
      </c>
      <c r="N59" s="2706" t="s">
        <v>1147</v>
      </c>
      <c r="O59" s="2770" t="s">
        <v>1148</v>
      </c>
      <c r="P59" s="3756">
        <f>(U59+U60+U61+U62+U63+U64)/(U59+U60+U61+U62+U63+U64+U65+U66+U67+U68+U69)</f>
        <v>0.1686171437930474</v>
      </c>
      <c r="Q59" s="3763">
        <f>+U59+U60+U61+U62+U63+U64</f>
        <v>213298765</v>
      </c>
      <c r="R59" s="2723" t="s">
        <v>1149</v>
      </c>
      <c r="S59" s="2723" t="s">
        <v>1150</v>
      </c>
      <c r="T59" s="778" t="s">
        <v>1151</v>
      </c>
      <c r="U59" s="1223">
        <v>38415591</v>
      </c>
      <c r="V59" s="1224">
        <v>12</v>
      </c>
      <c r="W59" s="1990" t="s">
        <v>1720</v>
      </c>
      <c r="X59" s="2706">
        <v>300</v>
      </c>
      <c r="Y59" s="3751">
        <v>710</v>
      </c>
      <c r="Z59" s="3751">
        <v>317</v>
      </c>
      <c r="AA59" s="3751">
        <v>633</v>
      </c>
      <c r="AB59" s="3751">
        <v>0</v>
      </c>
      <c r="AC59" s="3751">
        <v>0</v>
      </c>
      <c r="AD59" s="3751">
        <v>0</v>
      </c>
      <c r="AE59" s="3751">
        <v>0</v>
      </c>
      <c r="AF59" s="2706">
        <v>0</v>
      </c>
      <c r="AG59" s="2706">
        <v>0</v>
      </c>
      <c r="AH59" s="2706">
        <v>0</v>
      </c>
      <c r="AI59" s="2706">
        <v>0</v>
      </c>
      <c r="AJ59" s="2706">
        <v>0</v>
      </c>
      <c r="AK59" s="2706">
        <v>60</v>
      </c>
      <c r="AL59" s="2706">
        <v>0</v>
      </c>
      <c r="AM59" s="2706">
        <f>+X59+Y59+Z59+AA59+AB59+AC59+AD59</f>
        <v>1960</v>
      </c>
      <c r="AN59" s="3012">
        <v>43832</v>
      </c>
      <c r="AO59" s="3105" t="s">
        <v>1152</v>
      </c>
      <c r="AP59" s="3762" t="s">
        <v>1153</v>
      </c>
    </row>
    <row r="60" spans="1:42" s="1213" customFormat="1" ht="34.5" customHeight="1" x14ac:dyDescent="0.25">
      <c r="A60" s="1206"/>
      <c r="B60" s="1207"/>
      <c r="C60" s="1208"/>
      <c r="D60" s="3661"/>
      <c r="E60" s="3663"/>
      <c r="F60" s="1209"/>
      <c r="G60" s="2852"/>
      <c r="H60" s="3747"/>
      <c r="I60" s="2303"/>
      <c r="J60" s="2303"/>
      <c r="K60" s="2706"/>
      <c r="L60" s="3752"/>
      <c r="M60" s="807" t="s">
        <v>1154</v>
      </c>
      <c r="N60" s="2706"/>
      <c r="O60" s="2770"/>
      <c r="P60" s="3757"/>
      <c r="Q60" s="3763"/>
      <c r="R60" s="3753"/>
      <c r="S60" s="3753"/>
      <c r="T60" s="2303" t="s">
        <v>1155</v>
      </c>
      <c r="U60" s="1223">
        <v>66650000</v>
      </c>
      <c r="V60" s="1224">
        <v>4</v>
      </c>
      <c r="W60" s="1999" t="s">
        <v>1070</v>
      </c>
      <c r="X60" s="2706"/>
      <c r="Y60" s="3752"/>
      <c r="Z60" s="3752"/>
      <c r="AA60" s="3752"/>
      <c r="AB60" s="3752"/>
      <c r="AC60" s="3752"/>
      <c r="AD60" s="3752"/>
      <c r="AE60" s="3752"/>
      <c r="AF60" s="2706"/>
      <c r="AG60" s="2706"/>
      <c r="AH60" s="2706"/>
      <c r="AI60" s="2706"/>
      <c r="AJ60" s="2706"/>
      <c r="AK60" s="2706"/>
      <c r="AL60" s="2706"/>
      <c r="AM60" s="2706"/>
      <c r="AN60" s="3072"/>
      <c r="AO60" s="3105"/>
      <c r="AP60" s="3762"/>
    </row>
    <row r="61" spans="1:42" s="1213" customFormat="1" ht="45" customHeight="1" x14ac:dyDescent="0.25">
      <c r="A61" s="1206"/>
      <c r="B61" s="1207"/>
      <c r="C61" s="1208"/>
      <c r="D61" s="3661"/>
      <c r="E61" s="3663"/>
      <c r="F61" s="1209"/>
      <c r="G61" s="2852"/>
      <c r="H61" s="3747"/>
      <c r="I61" s="2303"/>
      <c r="J61" s="2303"/>
      <c r="K61" s="2706"/>
      <c r="L61" s="3752"/>
      <c r="M61" s="807" t="s">
        <v>1156</v>
      </c>
      <c r="N61" s="2706"/>
      <c r="O61" s="2770"/>
      <c r="P61" s="3757"/>
      <c r="Q61" s="3763"/>
      <c r="R61" s="3753"/>
      <c r="S61" s="3753"/>
      <c r="T61" s="2303"/>
      <c r="U61" s="1223">
        <v>60000000</v>
      </c>
      <c r="V61" s="1224">
        <v>6</v>
      </c>
      <c r="W61" s="1988" t="s">
        <v>1726</v>
      </c>
      <c r="X61" s="2706"/>
      <c r="Y61" s="3752"/>
      <c r="Z61" s="3752"/>
      <c r="AA61" s="3752"/>
      <c r="AB61" s="3752"/>
      <c r="AC61" s="3752"/>
      <c r="AD61" s="3752"/>
      <c r="AE61" s="3752"/>
      <c r="AF61" s="2706"/>
      <c r="AG61" s="2706"/>
      <c r="AH61" s="2706"/>
      <c r="AI61" s="2706"/>
      <c r="AJ61" s="2706"/>
      <c r="AK61" s="2706"/>
      <c r="AL61" s="2706"/>
      <c r="AM61" s="2706"/>
      <c r="AN61" s="3072"/>
      <c r="AO61" s="3105"/>
      <c r="AP61" s="3762"/>
    </row>
    <row r="62" spans="1:42" s="1213" customFormat="1" ht="54.75" customHeight="1" x14ac:dyDescent="0.25">
      <c r="A62" s="1206"/>
      <c r="B62" s="1207"/>
      <c r="C62" s="1208"/>
      <c r="D62" s="3661"/>
      <c r="E62" s="3663"/>
      <c r="F62" s="1209"/>
      <c r="G62" s="2852"/>
      <c r="H62" s="3747"/>
      <c r="I62" s="2303"/>
      <c r="J62" s="2303"/>
      <c r="K62" s="2706"/>
      <c r="L62" s="3752"/>
      <c r="M62" s="807" t="s">
        <v>1157</v>
      </c>
      <c r="N62" s="2706"/>
      <c r="O62" s="2770"/>
      <c r="P62" s="3757"/>
      <c r="Q62" s="3763"/>
      <c r="R62" s="3753"/>
      <c r="S62" s="3753"/>
      <c r="T62" s="778" t="s">
        <v>1158</v>
      </c>
      <c r="U62" s="1223">
        <v>39253174</v>
      </c>
      <c r="V62" s="1224">
        <v>4</v>
      </c>
      <c r="W62" s="1988" t="s">
        <v>1070</v>
      </c>
      <c r="X62" s="2706"/>
      <c r="Y62" s="3752"/>
      <c r="Z62" s="3752"/>
      <c r="AA62" s="3752"/>
      <c r="AB62" s="3752"/>
      <c r="AC62" s="3752"/>
      <c r="AD62" s="3752"/>
      <c r="AE62" s="3752"/>
      <c r="AF62" s="2706"/>
      <c r="AG62" s="2706"/>
      <c r="AH62" s="2706"/>
      <c r="AI62" s="2706"/>
      <c r="AJ62" s="2706"/>
      <c r="AK62" s="2706"/>
      <c r="AL62" s="2706"/>
      <c r="AM62" s="2706"/>
      <c r="AN62" s="3072"/>
      <c r="AO62" s="3105"/>
      <c r="AP62" s="3762"/>
    </row>
    <row r="63" spans="1:42" s="1213" customFormat="1" ht="57.75" customHeight="1" x14ac:dyDescent="0.25">
      <c r="A63" s="758"/>
      <c r="B63" s="773"/>
      <c r="C63" s="774"/>
      <c r="D63" s="3661"/>
      <c r="E63" s="3663"/>
      <c r="F63" s="2340"/>
      <c r="G63" s="2852"/>
      <c r="H63" s="3747"/>
      <c r="I63" s="2303"/>
      <c r="J63" s="2303"/>
      <c r="K63" s="2706"/>
      <c r="L63" s="3752"/>
      <c r="M63" s="807" t="s">
        <v>1159</v>
      </c>
      <c r="N63" s="2706"/>
      <c r="O63" s="2770"/>
      <c r="P63" s="3757"/>
      <c r="Q63" s="3763"/>
      <c r="R63" s="3753"/>
      <c r="S63" s="3753"/>
      <c r="T63" s="2303" t="s">
        <v>1160</v>
      </c>
      <c r="U63" s="1223">
        <v>4980000</v>
      </c>
      <c r="V63" s="1224">
        <v>4</v>
      </c>
      <c r="W63" s="2000" t="s">
        <v>1070</v>
      </c>
      <c r="X63" s="2706"/>
      <c r="Y63" s="3752"/>
      <c r="Z63" s="3752"/>
      <c r="AA63" s="3752"/>
      <c r="AB63" s="3752"/>
      <c r="AC63" s="3752"/>
      <c r="AD63" s="3752"/>
      <c r="AE63" s="3752"/>
      <c r="AF63" s="2706"/>
      <c r="AG63" s="2706"/>
      <c r="AH63" s="2706"/>
      <c r="AI63" s="2706"/>
      <c r="AJ63" s="2706"/>
      <c r="AK63" s="2706"/>
      <c r="AL63" s="2706"/>
      <c r="AM63" s="2706"/>
      <c r="AN63" s="3072"/>
      <c r="AO63" s="3105"/>
      <c r="AP63" s="3762"/>
    </row>
    <row r="64" spans="1:42" s="1213" customFormat="1" ht="61.5" customHeight="1" x14ac:dyDescent="0.25">
      <c r="A64" s="1214"/>
      <c r="B64" s="484"/>
      <c r="C64" s="1215"/>
      <c r="D64" s="3661"/>
      <c r="E64" s="3663"/>
      <c r="F64" s="2340"/>
      <c r="G64" s="2852"/>
      <c r="H64" s="3747"/>
      <c r="I64" s="2303"/>
      <c r="J64" s="2303"/>
      <c r="K64" s="2706"/>
      <c r="L64" s="2705"/>
      <c r="M64" s="807" t="s">
        <v>1161</v>
      </c>
      <c r="N64" s="2706"/>
      <c r="O64" s="2770"/>
      <c r="P64" s="3758"/>
      <c r="Q64" s="3763"/>
      <c r="R64" s="2302"/>
      <c r="S64" s="2302"/>
      <c r="T64" s="2303"/>
      <c r="U64" s="1223">
        <v>4000000</v>
      </c>
      <c r="V64" s="1224">
        <v>12</v>
      </c>
      <c r="W64" s="1990" t="s">
        <v>1720</v>
      </c>
      <c r="X64" s="2706"/>
      <c r="Y64" s="2705"/>
      <c r="Z64" s="2705"/>
      <c r="AA64" s="2705"/>
      <c r="AB64" s="2705"/>
      <c r="AC64" s="2705"/>
      <c r="AD64" s="2705"/>
      <c r="AE64" s="2705"/>
      <c r="AF64" s="2706"/>
      <c r="AG64" s="2706"/>
      <c r="AH64" s="2706"/>
      <c r="AI64" s="2706"/>
      <c r="AJ64" s="2706"/>
      <c r="AK64" s="2706"/>
      <c r="AL64" s="2706"/>
      <c r="AM64" s="2706"/>
      <c r="AN64" s="3013"/>
      <c r="AO64" s="3105"/>
      <c r="AP64" s="3762"/>
    </row>
    <row r="65" spans="1:42" s="1213" customFormat="1" ht="47.25" customHeight="1" x14ac:dyDescent="0.25">
      <c r="A65" s="1253"/>
      <c r="B65" s="862"/>
      <c r="C65" s="1254"/>
      <c r="D65" s="3661"/>
      <c r="E65" s="3663"/>
      <c r="F65" s="2568"/>
      <c r="G65" s="3750">
        <v>4302075</v>
      </c>
      <c r="H65" s="2706" t="s">
        <v>1143</v>
      </c>
      <c r="I65" s="2303" t="s">
        <v>1144</v>
      </c>
      <c r="J65" s="2303" t="s">
        <v>1145</v>
      </c>
      <c r="K65" s="3751">
        <v>25</v>
      </c>
      <c r="L65" s="3751">
        <v>19</v>
      </c>
      <c r="M65" s="807" t="s">
        <v>1162</v>
      </c>
      <c r="N65" s="3754" t="s">
        <v>1163</v>
      </c>
      <c r="O65" s="3755" t="s">
        <v>1164</v>
      </c>
      <c r="P65" s="3756">
        <f>(U65+U66+U67+U68)/(U59+U60+U61+U62+U63+U64+U65+U66+U67+U68+U69)</f>
        <v>0.8076672275028135</v>
      </c>
      <c r="Q65" s="3759">
        <f>+U65+U66+U67+U68</f>
        <v>1021689837</v>
      </c>
      <c r="R65" s="2723" t="s">
        <v>1165</v>
      </c>
      <c r="S65" s="2723" t="s">
        <v>1166</v>
      </c>
      <c r="T65" s="2303" t="s">
        <v>1144</v>
      </c>
      <c r="U65" s="1223">
        <v>148924918</v>
      </c>
      <c r="V65" s="1224">
        <v>12</v>
      </c>
      <c r="W65" s="1990" t="s">
        <v>1720</v>
      </c>
      <c r="X65" s="3764"/>
      <c r="Y65" s="3764"/>
      <c r="Z65" s="3764"/>
      <c r="AA65" s="3764"/>
      <c r="AB65" s="3764"/>
      <c r="AC65" s="3764"/>
      <c r="AD65" s="3764"/>
      <c r="AE65" s="3764"/>
      <c r="AF65" s="3764"/>
      <c r="AG65" s="3764"/>
      <c r="AH65" s="3764"/>
      <c r="AI65" s="3764"/>
      <c r="AJ65" s="3764"/>
      <c r="AK65" s="3764"/>
      <c r="AL65" s="3764"/>
      <c r="AM65" s="3764"/>
      <c r="AN65" s="3012">
        <v>44045</v>
      </c>
      <c r="AO65" s="3012">
        <v>44195</v>
      </c>
      <c r="AP65" s="3767" t="s">
        <v>1153</v>
      </c>
    </row>
    <row r="66" spans="1:42" s="1213" customFormat="1" ht="47.25" customHeight="1" x14ac:dyDescent="0.25">
      <c r="A66" s="1253"/>
      <c r="B66" s="862"/>
      <c r="C66" s="1254"/>
      <c r="D66" s="3661"/>
      <c r="E66" s="3663"/>
      <c r="F66" s="2568"/>
      <c r="G66" s="2771"/>
      <c r="H66" s="2706"/>
      <c r="I66" s="2303"/>
      <c r="J66" s="2303"/>
      <c r="K66" s="3752"/>
      <c r="L66" s="3752"/>
      <c r="M66" s="807" t="s">
        <v>1167</v>
      </c>
      <c r="N66" s="3754"/>
      <c r="O66" s="3755"/>
      <c r="P66" s="3757"/>
      <c r="Q66" s="3760"/>
      <c r="R66" s="3753"/>
      <c r="S66" s="3753"/>
      <c r="T66" s="2303"/>
      <c r="U66" s="1223">
        <v>58059026</v>
      </c>
      <c r="V66" s="1224">
        <v>3</v>
      </c>
      <c r="W66" s="1992" t="s">
        <v>1725</v>
      </c>
      <c r="X66" s="3765"/>
      <c r="Y66" s="3765"/>
      <c r="Z66" s="3765"/>
      <c r="AA66" s="3765"/>
      <c r="AB66" s="3765"/>
      <c r="AC66" s="3765"/>
      <c r="AD66" s="3765"/>
      <c r="AE66" s="3765"/>
      <c r="AF66" s="3765"/>
      <c r="AG66" s="3765"/>
      <c r="AH66" s="3765"/>
      <c r="AI66" s="3765"/>
      <c r="AJ66" s="3765"/>
      <c r="AK66" s="3765"/>
      <c r="AL66" s="3765"/>
      <c r="AM66" s="3765"/>
      <c r="AN66" s="3072"/>
      <c r="AO66" s="3072"/>
      <c r="AP66" s="3768"/>
    </row>
    <row r="67" spans="1:42" s="1213" customFormat="1" ht="47.25" customHeight="1" x14ac:dyDescent="0.25">
      <c r="A67" s="1253"/>
      <c r="B67" s="862"/>
      <c r="C67" s="1254"/>
      <c r="D67" s="3661"/>
      <c r="E67" s="3663"/>
      <c r="F67" s="2568"/>
      <c r="G67" s="2771"/>
      <c r="H67" s="2706"/>
      <c r="I67" s="2303"/>
      <c r="J67" s="2303"/>
      <c r="K67" s="3752"/>
      <c r="L67" s="3752"/>
      <c r="M67" s="807" t="s">
        <v>1168</v>
      </c>
      <c r="N67" s="3754"/>
      <c r="O67" s="3755"/>
      <c r="P67" s="3757"/>
      <c r="Q67" s="3760"/>
      <c r="R67" s="3753"/>
      <c r="S67" s="3753"/>
      <c r="T67" s="2303"/>
      <c r="U67" s="1223">
        <v>432942553</v>
      </c>
      <c r="V67" s="1224">
        <v>4</v>
      </c>
      <c r="W67" s="2000" t="s">
        <v>1070</v>
      </c>
      <c r="X67" s="3765"/>
      <c r="Y67" s="3765"/>
      <c r="Z67" s="3765"/>
      <c r="AA67" s="3765"/>
      <c r="AB67" s="3765"/>
      <c r="AC67" s="3765"/>
      <c r="AD67" s="3765"/>
      <c r="AE67" s="3765"/>
      <c r="AF67" s="3765"/>
      <c r="AG67" s="3765"/>
      <c r="AH67" s="3765"/>
      <c r="AI67" s="3765"/>
      <c r="AJ67" s="3765"/>
      <c r="AK67" s="3765"/>
      <c r="AL67" s="3765"/>
      <c r="AM67" s="3765"/>
      <c r="AN67" s="3072"/>
      <c r="AO67" s="3072"/>
      <c r="AP67" s="3768"/>
    </row>
    <row r="68" spans="1:42" s="1213" customFormat="1" ht="117" customHeight="1" x14ac:dyDescent="0.25">
      <c r="A68" s="1253"/>
      <c r="B68" s="862"/>
      <c r="C68" s="1254"/>
      <c r="D68" s="3661"/>
      <c r="E68" s="3663"/>
      <c r="F68" s="2568"/>
      <c r="G68" s="2771"/>
      <c r="H68" s="2706"/>
      <c r="I68" s="2303"/>
      <c r="J68" s="2303"/>
      <c r="K68" s="2705"/>
      <c r="L68" s="2705"/>
      <c r="M68" s="807" t="s">
        <v>1169</v>
      </c>
      <c r="N68" s="3754"/>
      <c r="O68" s="3755"/>
      <c r="P68" s="3758"/>
      <c r="Q68" s="3761"/>
      <c r="R68" s="2302"/>
      <c r="S68" s="2302"/>
      <c r="T68" s="2303"/>
      <c r="U68" s="1223">
        <v>381763340</v>
      </c>
      <c r="V68" s="1224">
        <v>6</v>
      </c>
      <c r="W68" s="2000" t="s">
        <v>1110</v>
      </c>
      <c r="X68" s="3766"/>
      <c r="Y68" s="3766"/>
      <c r="Z68" s="3766"/>
      <c r="AA68" s="3766"/>
      <c r="AB68" s="3766"/>
      <c r="AC68" s="3766"/>
      <c r="AD68" s="3766"/>
      <c r="AE68" s="3766"/>
      <c r="AF68" s="3766"/>
      <c r="AG68" s="3766"/>
      <c r="AH68" s="3766"/>
      <c r="AI68" s="3766"/>
      <c r="AJ68" s="3766"/>
      <c r="AK68" s="3766"/>
      <c r="AL68" s="3766"/>
      <c r="AM68" s="3766"/>
      <c r="AN68" s="3013"/>
      <c r="AO68" s="3013"/>
      <c r="AP68" s="3769"/>
    </row>
    <row r="69" spans="1:42" s="1213" customFormat="1" ht="60" customHeight="1" x14ac:dyDescent="0.25">
      <c r="A69" s="1214"/>
      <c r="B69" s="484"/>
      <c r="C69" s="1215"/>
      <c r="D69" s="3745"/>
      <c r="E69" s="3746"/>
      <c r="F69" s="2569"/>
      <c r="G69" s="786">
        <v>4302075</v>
      </c>
      <c r="H69" s="786" t="s">
        <v>1143</v>
      </c>
      <c r="I69" s="778" t="s">
        <v>1144</v>
      </c>
      <c r="J69" s="778" t="s">
        <v>1170</v>
      </c>
      <c r="K69" s="787">
        <v>1</v>
      </c>
      <c r="L69" s="787" t="s">
        <v>1171</v>
      </c>
      <c r="M69" s="800" t="s">
        <v>1172</v>
      </c>
      <c r="N69" s="1255" t="s">
        <v>1112</v>
      </c>
      <c r="O69" s="778" t="s">
        <v>1173</v>
      </c>
      <c r="P69" s="1256">
        <f>U69/(U59+U60+U61+U62+U63+U64+U65+U66+U67+U68+U69)</f>
        <v>2.3715628704139107E-2</v>
      </c>
      <c r="Q69" s="1221">
        <v>30000000</v>
      </c>
      <c r="R69" s="782" t="s">
        <v>1174</v>
      </c>
      <c r="S69" s="782" t="s">
        <v>1175</v>
      </c>
      <c r="T69" s="778" t="s">
        <v>1144</v>
      </c>
      <c r="U69" s="1223">
        <v>30000000</v>
      </c>
      <c r="V69" s="1257" t="s">
        <v>1176</v>
      </c>
      <c r="W69" s="2001" t="s">
        <v>1070</v>
      </c>
      <c r="X69" s="1258"/>
      <c r="Y69" s="1258"/>
      <c r="Z69" s="1258"/>
      <c r="AA69" s="1258"/>
      <c r="AB69" s="1258"/>
      <c r="AC69" s="1258"/>
      <c r="AD69" s="1258"/>
      <c r="AE69" s="1258"/>
      <c r="AF69" s="1258"/>
      <c r="AG69" s="1258"/>
      <c r="AH69" s="1258"/>
      <c r="AI69" s="1258"/>
      <c r="AJ69" s="1258"/>
      <c r="AK69" s="1258"/>
      <c r="AL69" s="1258"/>
      <c r="AM69" s="1258"/>
      <c r="AN69" s="790">
        <v>44045</v>
      </c>
      <c r="AO69" s="790">
        <v>44196</v>
      </c>
      <c r="AP69" s="1259" t="s">
        <v>1153</v>
      </c>
    </row>
    <row r="70" spans="1:42" ht="32.25" customHeight="1" x14ac:dyDescent="0.25">
      <c r="A70" s="323"/>
      <c r="B70" s="247"/>
      <c r="C70" s="249"/>
      <c r="D70" s="273"/>
      <c r="E70" s="273"/>
      <c r="F70" s="273"/>
      <c r="G70" s="1260"/>
      <c r="H70" s="1260"/>
      <c r="I70" s="1261"/>
      <c r="J70" s="1262"/>
      <c r="K70" s="1263"/>
      <c r="L70" s="1263"/>
      <c r="M70" s="800"/>
      <c r="N70" s="787"/>
      <c r="O70" s="1264"/>
      <c r="P70" s="788"/>
      <c r="Q70" s="1265">
        <f>SUM(Q12:Q69)</f>
        <v>4341489310.7799997</v>
      </c>
      <c r="R70" s="782"/>
      <c r="S70" s="782"/>
      <c r="T70" s="782"/>
      <c r="U70" s="1265">
        <f>SUM(U12:U69)</f>
        <v>4341489310.7799997</v>
      </c>
      <c r="V70" s="800"/>
      <c r="W70" s="1264"/>
      <c r="X70" s="1266"/>
      <c r="Y70" s="1266"/>
      <c r="Z70" s="1266"/>
      <c r="AA70" s="1266"/>
      <c r="AB70" s="1266"/>
      <c r="AC70" s="1266"/>
      <c r="AD70" s="1266"/>
      <c r="AE70" s="1266"/>
      <c r="AF70" s="1266"/>
      <c r="AG70" s="1266"/>
      <c r="AH70" s="1266"/>
      <c r="AI70" s="1266"/>
      <c r="AJ70" s="1266"/>
      <c r="AK70" s="1266"/>
      <c r="AL70" s="1266"/>
      <c r="AM70" s="1266"/>
      <c r="AN70" s="781"/>
      <c r="AO70" s="1267"/>
      <c r="AP70" s="1268"/>
    </row>
    <row r="71" spans="1:42" ht="15.75" customHeight="1" x14ac:dyDescent="0.25">
      <c r="A71" s="114"/>
      <c r="B71" s="4"/>
      <c r="C71" s="4"/>
      <c r="D71" s="4"/>
      <c r="E71" s="4"/>
      <c r="F71" s="4"/>
      <c r="G71" s="4"/>
      <c r="H71" s="4"/>
      <c r="I71" s="748"/>
      <c r="J71" s="749"/>
      <c r="K71" s="3"/>
      <c r="L71" s="3"/>
      <c r="M71" s="168"/>
      <c r="N71" s="169"/>
      <c r="O71" s="161"/>
      <c r="P71" s="750"/>
      <c r="Q71" s="165"/>
      <c r="R71" s="162"/>
      <c r="S71" s="162"/>
      <c r="T71" s="1269"/>
      <c r="U71" s="1270"/>
      <c r="V71" s="168"/>
      <c r="W71" s="169"/>
      <c r="X71" s="170"/>
      <c r="Y71" s="170"/>
      <c r="Z71" s="170"/>
      <c r="AA71" s="170"/>
      <c r="AB71" s="170"/>
      <c r="AC71" s="170"/>
      <c r="AD71" s="170"/>
      <c r="AE71" s="170"/>
      <c r="AF71" s="170"/>
      <c r="AG71" s="170"/>
      <c r="AH71" s="170"/>
      <c r="AI71" s="170"/>
      <c r="AJ71" s="170"/>
      <c r="AK71" s="170"/>
      <c r="AL71" s="170"/>
      <c r="AM71" s="170"/>
      <c r="AN71" s="1271"/>
      <c r="AO71" s="172"/>
      <c r="AP71" s="173"/>
    </row>
    <row r="72" spans="1:42" ht="15.75" customHeight="1" x14ac:dyDescent="0.25">
      <c r="A72" s="114"/>
      <c r="B72" s="4"/>
      <c r="C72" s="4"/>
      <c r="D72" s="4"/>
      <c r="E72" s="4"/>
      <c r="F72" s="4"/>
      <c r="G72" s="4"/>
      <c r="H72" s="4"/>
      <c r="I72" s="748"/>
      <c r="J72" s="749"/>
      <c r="K72" s="3"/>
      <c r="L72" s="3"/>
      <c r="M72" s="168"/>
      <c r="N72" s="169"/>
      <c r="O72" s="161"/>
      <c r="P72" s="750"/>
      <c r="Q72" s="165"/>
      <c r="R72" s="162"/>
      <c r="S72" s="162"/>
      <c r="T72" s="1269"/>
      <c r="U72" s="1270"/>
      <c r="V72" s="168"/>
      <c r="W72" s="169"/>
      <c r="X72" s="170"/>
      <c r="Y72" s="170"/>
      <c r="Z72" s="170"/>
      <c r="AA72" s="170"/>
      <c r="AB72" s="170"/>
      <c r="AC72" s="170"/>
      <c r="AD72" s="170"/>
      <c r="AE72" s="170"/>
      <c r="AF72" s="170"/>
      <c r="AG72" s="170"/>
      <c r="AH72" s="170"/>
      <c r="AI72" s="170"/>
      <c r="AJ72" s="170"/>
      <c r="AK72" s="170"/>
      <c r="AL72" s="170"/>
      <c r="AM72" s="170"/>
      <c r="AN72" s="1271"/>
      <c r="AO72" s="172"/>
      <c r="AP72" s="173"/>
    </row>
    <row r="73" spans="1:42" ht="15.75" customHeight="1" x14ac:dyDescent="0.25">
      <c r="A73" s="114"/>
      <c r="B73" s="247"/>
      <c r="C73" s="247"/>
      <c r="D73" s="247"/>
      <c r="E73" s="247"/>
      <c r="F73" s="873"/>
      <c r="G73" s="247"/>
      <c r="H73" s="117"/>
      <c r="I73" s="4"/>
      <c r="J73" s="749"/>
      <c r="K73" s="3"/>
      <c r="L73" s="3"/>
      <c r="M73" s="168"/>
      <c r="N73" s="169"/>
      <c r="O73" s="161"/>
      <c r="P73" s="750"/>
      <c r="Q73" s="165"/>
      <c r="R73" s="162"/>
      <c r="S73" s="162"/>
      <c r="T73" s="1269"/>
      <c r="U73" s="1270"/>
      <c r="V73" s="168"/>
      <c r="W73" s="169"/>
      <c r="X73" s="170"/>
      <c r="Y73" s="170"/>
      <c r="Z73" s="170"/>
      <c r="AA73" s="170"/>
      <c r="AB73" s="170"/>
      <c r="AC73" s="170"/>
      <c r="AD73" s="170"/>
      <c r="AE73" s="170"/>
      <c r="AF73" s="170"/>
      <c r="AG73" s="170"/>
      <c r="AH73" s="170"/>
      <c r="AI73" s="170"/>
      <c r="AJ73" s="170"/>
      <c r="AK73" s="170"/>
      <c r="AL73" s="170"/>
      <c r="AM73" s="170"/>
      <c r="AN73" s="1271"/>
      <c r="AO73" s="172"/>
      <c r="AP73" s="173"/>
    </row>
    <row r="74" spans="1:42" ht="15.75" customHeight="1" x14ac:dyDescent="0.25">
      <c r="A74" s="4"/>
      <c r="B74" s="1272"/>
      <c r="C74" s="1273"/>
      <c r="D74" s="1274" t="s">
        <v>1177</v>
      </c>
      <c r="E74" s="1274"/>
      <c r="F74" s="1274"/>
      <c r="G74" s="4"/>
      <c r="H74" s="4"/>
      <c r="I74" s="4"/>
      <c r="J74" s="4"/>
      <c r="K74" s="756"/>
      <c r="L74" s="756"/>
      <c r="M74" s="756"/>
      <c r="N74" s="756"/>
      <c r="O74" s="161"/>
      <c r="P74" s="750"/>
      <c r="Q74" s="165"/>
      <c r="R74" s="162"/>
      <c r="S74" s="162"/>
      <c r="T74" s="1269"/>
      <c r="U74" s="1270"/>
      <c r="V74" s="168"/>
      <c r="W74" s="169"/>
      <c r="X74" s="170"/>
      <c r="Y74" s="170"/>
      <c r="Z74" s="170"/>
      <c r="AA74" s="170"/>
      <c r="AB74" s="170"/>
      <c r="AC74" s="170"/>
      <c r="AD74" s="170"/>
      <c r="AE74" s="170"/>
      <c r="AF74" s="170"/>
      <c r="AG74" s="170"/>
      <c r="AH74" s="170"/>
      <c r="AI74" s="170"/>
      <c r="AJ74" s="170"/>
      <c r="AK74" s="170"/>
      <c r="AL74" s="170"/>
      <c r="AM74" s="170"/>
      <c r="AN74" s="1271"/>
      <c r="AO74" s="172"/>
      <c r="AP74" s="173"/>
    </row>
    <row r="75" spans="1:42" ht="15.75" customHeight="1" x14ac:dyDescent="0.25">
      <c r="A75" s="4"/>
      <c r="B75" s="1275"/>
      <c r="C75" s="160"/>
      <c r="D75" s="756" t="s">
        <v>1178</v>
      </c>
      <c r="E75" s="756"/>
      <c r="F75" s="756"/>
      <c r="G75" s="4"/>
      <c r="H75" s="4"/>
      <c r="I75" s="4"/>
      <c r="J75" s="4"/>
      <c r="K75" s="163"/>
      <c r="L75" s="163"/>
      <c r="M75" s="163"/>
      <c r="N75" s="163"/>
      <c r="O75" s="4"/>
      <c r="P75" s="4"/>
      <c r="Q75" s="4"/>
      <c r="R75" s="173"/>
      <c r="S75" s="4"/>
      <c r="T75" s="173"/>
      <c r="U75" s="4"/>
      <c r="V75" s="168"/>
      <c r="W75" s="169"/>
      <c r="X75" s="170"/>
      <c r="Y75" s="170"/>
      <c r="Z75" s="170"/>
      <c r="AA75" s="170"/>
      <c r="AB75" s="170"/>
      <c r="AC75" s="170"/>
      <c r="AD75" s="170"/>
      <c r="AE75" s="170"/>
      <c r="AF75" s="170"/>
      <c r="AG75" s="170"/>
      <c r="AH75" s="170"/>
      <c r="AI75" s="170"/>
      <c r="AJ75" s="170"/>
      <c r="AK75" s="170"/>
      <c r="AL75" s="170"/>
      <c r="AM75" s="170"/>
      <c r="AN75" s="1271"/>
      <c r="AO75" s="172"/>
      <c r="AP75" s="173"/>
    </row>
    <row r="76" spans="1:42" ht="15.75" customHeight="1" x14ac:dyDescent="0.25">
      <c r="C76" s="163"/>
      <c r="D76" s="756"/>
      <c r="E76" s="756"/>
      <c r="F76" s="756"/>
      <c r="G76" s="756"/>
      <c r="H76" s="756"/>
      <c r="I76" s="756"/>
      <c r="J76" s="163"/>
      <c r="K76" s="163"/>
      <c r="L76" s="163"/>
      <c r="M76" s="163"/>
      <c r="N76" s="163"/>
    </row>
    <row r="77" spans="1:42" ht="15" customHeight="1" x14ac:dyDescent="0.25">
      <c r="C77" s="180"/>
      <c r="D77" s="168"/>
      <c r="E77" s="447"/>
      <c r="F77" s="440"/>
      <c r="G77" s="1277"/>
      <c r="H77" s="1277"/>
      <c r="I77" s="444"/>
      <c r="J77" s="442"/>
      <c r="K77" s="442"/>
      <c r="L77" s="442"/>
      <c r="M77" s="442"/>
      <c r="N77" s="453"/>
    </row>
  </sheetData>
  <sheetProtection password="A60F" sheet="1" objects="1" scenarios="1"/>
  <autoFilter ref="V1:V77"/>
  <mergeCells count="341">
    <mergeCell ref="X65:X68"/>
    <mergeCell ref="Y65:Y68"/>
    <mergeCell ref="Z65:Z68"/>
    <mergeCell ref="AM65:AM68"/>
    <mergeCell ref="AN65:AN68"/>
    <mergeCell ref="AO65:AO68"/>
    <mergeCell ref="AP65:AP68"/>
    <mergeCell ref="AG65:AG68"/>
    <mergeCell ref="AH65:AH68"/>
    <mergeCell ref="AI65:AI68"/>
    <mergeCell ref="AJ65:AJ68"/>
    <mergeCell ref="AK65:AK68"/>
    <mergeCell ref="AL65:AL68"/>
    <mergeCell ref="L65:L68"/>
    <mergeCell ref="N65:N68"/>
    <mergeCell ref="O65:O68"/>
    <mergeCell ref="P65:P68"/>
    <mergeCell ref="Q65:Q68"/>
    <mergeCell ref="AN59:AN64"/>
    <mergeCell ref="AO59:AO64"/>
    <mergeCell ref="AP59:AP64"/>
    <mergeCell ref="T60:T61"/>
    <mergeCell ref="AK59:AK64"/>
    <mergeCell ref="AL59:AL64"/>
    <mergeCell ref="AM59:AM64"/>
    <mergeCell ref="O59:O64"/>
    <mergeCell ref="P59:P64"/>
    <mergeCell ref="Q59:Q64"/>
    <mergeCell ref="AA65:AA68"/>
    <mergeCell ref="AB65:AB68"/>
    <mergeCell ref="AC65:AC68"/>
    <mergeCell ref="AD65:AD68"/>
    <mergeCell ref="AE65:AE68"/>
    <mergeCell ref="AF65:AF68"/>
    <mergeCell ref="R65:R68"/>
    <mergeCell ref="S65:S68"/>
    <mergeCell ref="T65:T68"/>
    <mergeCell ref="T63:T64"/>
    <mergeCell ref="G65:G68"/>
    <mergeCell ref="H65:H68"/>
    <mergeCell ref="I65:I68"/>
    <mergeCell ref="J65:J68"/>
    <mergeCell ref="AH59:AH64"/>
    <mergeCell ref="AI59:AI64"/>
    <mergeCell ref="AJ59:AJ64"/>
    <mergeCell ref="AB59:AB64"/>
    <mergeCell ref="AC59:AC64"/>
    <mergeCell ref="AD59:AD64"/>
    <mergeCell ref="AE59:AE64"/>
    <mergeCell ref="AF59:AF64"/>
    <mergeCell ref="AG59:AG64"/>
    <mergeCell ref="R59:R64"/>
    <mergeCell ref="S59:S64"/>
    <mergeCell ref="X59:X64"/>
    <mergeCell ref="Y59:Y64"/>
    <mergeCell ref="Z59:Z64"/>
    <mergeCell ref="AA59:AA64"/>
    <mergeCell ref="K59:K64"/>
    <mergeCell ref="L59:L64"/>
    <mergeCell ref="N59:N64"/>
    <mergeCell ref="K65:K68"/>
    <mergeCell ref="D59:D69"/>
    <mergeCell ref="E59:E69"/>
    <mergeCell ref="G59:G64"/>
    <mergeCell ref="H59:H64"/>
    <mergeCell ref="I59:I64"/>
    <mergeCell ref="J59:J64"/>
    <mergeCell ref="G56:G57"/>
    <mergeCell ref="H56:H57"/>
    <mergeCell ref="I56:I57"/>
    <mergeCell ref="J56:J57"/>
    <mergeCell ref="F63:F69"/>
    <mergeCell ref="K56:K57"/>
    <mergeCell ref="L56:L57"/>
    <mergeCell ref="G52:G55"/>
    <mergeCell ref="H52:H55"/>
    <mergeCell ref="I52:I55"/>
    <mergeCell ref="J52:J55"/>
    <mergeCell ref="K52:K55"/>
    <mergeCell ref="L52:L55"/>
    <mergeCell ref="AN35:AN57"/>
    <mergeCell ref="Y35:Y57"/>
    <mergeCell ref="Z35:Z57"/>
    <mergeCell ref="AA35:AA57"/>
    <mergeCell ref="S56:S57"/>
    <mergeCell ref="T56:T57"/>
    <mergeCell ref="L35:L48"/>
    <mergeCell ref="N35:N57"/>
    <mergeCell ref="O35:O57"/>
    <mergeCell ref="P35:P48"/>
    <mergeCell ref="Q35:Q57"/>
    <mergeCell ref="R35:R57"/>
    <mergeCell ref="P56:P57"/>
    <mergeCell ref="AO35:AO57"/>
    <mergeCell ref="AP35:AP57"/>
    <mergeCell ref="J49:J51"/>
    <mergeCell ref="K49:K51"/>
    <mergeCell ref="L49:L51"/>
    <mergeCell ref="P49:P51"/>
    <mergeCell ref="P52:P55"/>
    <mergeCell ref="S52:S55"/>
    <mergeCell ref="T52:T55"/>
    <mergeCell ref="AH35:AH57"/>
    <mergeCell ref="AI35:AI57"/>
    <mergeCell ref="AJ35:AJ57"/>
    <mergeCell ref="AK35:AK57"/>
    <mergeCell ref="AL35:AL57"/>
    <mergeCell ref="AM35:AM57"/>
    <mergeCell ref="AB35:AB57"/>
    <mergeCell ref="AC35:AC57"/>
    <mergeCell ref="AD35:AD57"/>
    <mergeCell ref="AE35:AE57"/>
    <mergeCell ref="AF35:AF57"/>
    <mergeCell ref="AG35:AG57"/>
    <mergeCell ref="S35:S51"/>
    <mergeCell ref="T35:T51"/>
    <mergeCell ref="X35:X57"/>
    <mergeCell ref="AL30:AL34"/>
    <mergeCell ref="AM30:AM34"/>
    <mergeCell ref="AN30:AN34"/>
    <mergeCell ref="AO30:AO34"/>
    <mergeCell ref="AP30:AP34"/>
    <mergeCell ref="G35:G51"/>
    <mergeCell ref="H35:H51"/>
    <mergeCell ref="I35:I51"/>
    <mergeCell ref="J35:J48"/>
    <mergeCell ref="K35:K48"/>
    <mergeCell ref="AF30:AF34"/>
    <mergeCell ref="AG30:AG34"/>
    <mergeCell ref="AH30:AH34"/>
    <mergeCell ref="AI30:AI34"/>
    <mergeCell ref="AJ30:AJ34"/>
    <mergeCell ref="AK30:AK34"/>
    <mergeCell ref="Z30:Z34"/>
    <mergeCell ref="AA30:AA34"/>
    <mergeCell ref="AB30:AB34"/>
    <mergeCell ref="AC30:AC34"/>
    <mergeCell ref="AD30:AD34"/>
    <mergeCell ref="AE30:AE34"/>
    <mergeCell ref="Q30:Q34"/>
    <mergeCell ref="R30:R34"/>
    <mergeCell ref="S30:S34"/>
    <mergeCell ref="T30:T34"/>
    <mergeCell ref="X30:X34"/>
    <mergeCell ref="Y30:Y34"/>
    <mergeCell ref="AP28:AP29"/>
    <mergeCell ref="G30:G34"/>
    <mergeCell ref="H30:H34"/>
    <mergeCell ref="I30:I34"/>
    <mergeCell ref="J30:J34"/>
    <mergeCell ref="K30:K34"/>
    <mergeCell ref="L30:L34"/>
    <mergeCell ref="N30:N34"/>
    <mergeCell ref="O30:O34"/>
    <mergeCell ref="P30:P34"/>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N28:N29"/>
    <mergeCell ref="O28:O29"/>
    <mergeCell ref="Q28:Q29"/>
    <mergeCell ref="R28:R29"/>
    <mergeCell ref="S28:S29"/>
    <mergeCell ref="T28:T29"/>
    <mergeCell ref="G25:G27"/>
    <mergeCell ref="H25:H27"/>
    <mergeCell ref="I25:I27"/>
    <mergeCell ref="J25:J27"/>
    <mergeCell ref="K25:K27"/>
    <mergeCell ref="L25:L27"/>
    <mergeCell ref="AK21:AK27"/>
    <mergeCell ref="AL21:AL27"/>
    <mergeCell ref="AM21:AM27"/>
    <mergeCell ref="Y21:Y27"/>
    <mergeCell ref="Z21:Z27"/>
    <mergeCell ref="AA21:AA27"/>
    <mergeCell ref="AB21:AB27"/>
    <mergeCell ref="AC21:AC27"/>
    <mergeCell ref="AD21:AD27"/>
    <mergeCell ref="P21:P24"/>
    <mergeCell ref="Q21:Q27"/>
    <mergeCell ref="R21:R27"/>
    <mergeCell ref="S21:S27"/>
    <mergeCell ref="T21:T22"/>
    <mergeCell ref="X21:X27"/>
    <mergeCell ref="T23:T24"/>
    <mergeCell ref="P25:P27"/>
    <mergeCell ref="T25:T27"/>
    <mergeCell ref="AF18:AF20"/>
    <mergeCell ref="AG18:AG20"/>
    <mergeCell ref="AH18:AH20"/>
    <mergeCell ref="T18:T20"/>
    <mergeCell ref="X18:X20"/>
    <mergeCell ref="AN21:AN27"/>
    <mergeCell ref="AO21:AO27"/>
    <mergeCell ref="AP21:AP27"/>
    <mergeCell ref="AE21:AE27"/>
    <mergeCell ref="AF21:AF27"/>
    <mergeCell ref="AG21:AG27"/>
    <mergeCell ref="AH21:AH27"/>
    <mergeCell ref="AI21:AI27"/>
    <mergeCell ref="AJ21:AJ27"/>
    <mergeCell ref="O18:O20"/>
    <mergeCell ref="P18:P20"/>
    <mergeCell ref="Q18:Q20"/>
    <mergeCell ref="R18:R20"/>
    <mergeCell ref="S18:S20"/>
    <mergeCell ref="AO18:AO20"/>
    <mergeCell ref="AP18:AP20"/>
    <mergeCell ref="G21:G24"/>
    <mergeCell ref="H21:H24"/>
    <mergeCell ref="I21:I24"/>
    <mergeCell ref="J21:J24"/>
    <mergeCell ref="K21:K24"/>
    <mergeCell ref="L21:L24"/>
    <mergeCell ref="N21:N27"/>
    <mergeCell ref="O21:O27"/>
    <mergeCell ref="AI18:AI20"/>
    <mergeCell ref="AJ18:AJ20"/>
    <mergeCell ref="AK18:AK20"/>
    <mergeCell ref="AL18:AL20"/>
    <mergeCell ref="AM18:AM20"/>
    <mergeCell ref="AN18:AN20"/>
    <mergeCell ref="AC18:AC20"/>
    <mergeCell ref="AD18:AD20"/>
    <mergeCell ref="AE18:AE20"/>
    <mergeCell ref="G18:G20"/>
    <mergeCell ref="H18:H20"/>
    <mergeCell ref="I18:I20"/>
    <mergeCell ref="J18:J20"/>
    <mergeCell ref="K18:K20"/>
    <mergeCell ref="L18:L20"/>
    <mergeCell ref="AL12:AL17"/>
    <mergeCell ref="AM12:AM17"/>
    <mergeCell ref="AN12:AN17"/>
    <mergeCell ref="Y12:Y17"/>
    <mergeCell ref="T16:T17"/>
    <mergeCell ref="J12:J14"/>
    <mergeCell ref="K12:K14"/>
    <mergeCell ref="L12:L14"/>
    <mergeCell ref="N12:N17"/>
    <mergeCell ref="O12:O17"/>
    <mergeCell ref="P12:P14"/>
    <mergeCell ref="L15:L17"/>
    <mergeCell ref="P15:P17"/>
    <mergeCell ref="Y18:Y20"/>
    <mergeCell ref="Z18:Z20"/>
    <mergeCell ref="AA18:AA20"/>
    <mergeCell ref="AB18:AB20"/>
    <mergeCell ref="N18:N20"/>
    <mergeCell ref="AO12:AO17"/>
    <mergeCell ref="AP12:AP17"/>
    <mergeCell ref="G15:G17"/>
    <mergeCell ref="H15:H17"/>
    <mergeCell ref="I15:I17"/>
    <mergeCell ref="J15:J17"/>
    <mergeCell ref="K15:K17"/>
    <mergeCell ref="AF12:AF17"/>
    <mergeCell ref="AG12:AG17"/>
    <mergeCell ref="AH12:AH17"/>
    <mergeCell ref="AI12:AI17"/>
    <mergeCell ref="AJ12:AJ17"/>
    <mergeCell ref="AK12:AK17"/>
    <mergeCell ref="Z12:Z17"/>
    <mergeCell ref="AA12:AA17"/>
    <mergeCell ref="AB12:AB17"/>
    <mergeCell ref="AC12:AC17"/>
    <mergeCell ref="AD12:AD17"/>
    <mergeCell ref="AE12:AE17"/>
    <mergeCell ref="Q12:Q17"/>
    <mergeCell ref="R12:R17"/>
    <mergeCell ref="S12:S17"/>
    <mergeCell ref="T12:T14"/>
    <mergeCell ref="X12:X17"/>
    <mergeCell ref="D12:D13"/>
    <mergeCell ref="E12:E13"/>
    <mergeCell ref="G12:G14"/>
    <mergeCell ref="H12:H14"/>
    <mergeCell ref="I12:I14"/>
    <mergeCell ref="V7:V8"/>
    <mergeCell ref="W7:W8"/>
    <mergeCell ref="P7:P8"/>
    <mergeCell ref="Q7:Q8"/>
    <mergeCell ref="R7:R8"/>
    <mergeCell ref="S7:S8"/>
    <mergeCell ref="T7:T8"/>
    <mergeCell ref="U7:U8"/>
    <mergeCell ref="I7:I8"/>
    <mergeCell ref="J7:J8"/>
    <mergeCell ref="K7:L7"/>
    <mergeCell ref="M7:M8"/>
    <mergeCell ref="N7:N8"/>
    <mergeCell ref="O7:O8"/>
    <mergeCell ref="AD8:AD9"/>
    <mergeCell ref="AE8:AE9"/>
    <mergeCell ref="AF8:AF9"/>
    <mergeCell ref="AG8:AG9"/>
    <mergeCell ref="AH8:AH9"/>
    <mergeCell ref="AI8:AI9"/>
    <mergeCell ref="AJ8:AJ9"/>
    <mergeCell ref="AK8:AK9"/>
    <mergeCell ref="AL8:AL9"/>
    <mergeCell ref="A1:AN4"/>
    <mergeCell ref="A5:K6"/>
    <mergeCell ref="M5:AP5"/>
    <mergeCell ref="X6:AL6"/>
    <mergeCell ref="A7:A8"/>
    <mergeCell ref="B7:C8"/>
    <mergeCell ref="D7:D8"/>
    <mergeCell ref="E7:F8"/>
    <mergeCell ref="G7:G8"/>
    <mergeCell ref="H7:H8"/>
    <mergeCell ref="AM7:AM9"/>
    <mergeCell ref="AN7:AN9"/>
    <mergeCell ref="AO7:AO9"/>
    <mergeCell ref="AP7:AP9"/>
    <mergeCell ref="X8:X9"/>
    <mergeCell ref="Y8:Y9"/>
    <mergeCell ref="Z8:Z9"/>
    <mergeCell ref="AA8:AA9"/>
    <mergeCell ref="AB8:AB9"/>
    <mergeCell ref="AC8:AC9"/>
    <mergeCell ref="X7:Y7"/>
    <mergeCell ref="Z7:AC7"/>
    <mergeCell ref="AD7:AI7"/>
    <mergeCell ref="AJ7:AL7"/>
  </mergeCells>
  <pageMargins left="0.7" right="0.7" top="0.75" bottom="0.75" header="0.3" footer="0.3"/>
  <pageSetup scale="10" orientation="portrait" r:id="rId1"/>
  <colBreaks count="1" manualBreakCount="1">
    <brk id="4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34"/>
  <sheetViews>
    <sheetView showGridLines="0" zoomScale="60" zoomScaleNormal="60" workbookViewId="0">
      <selection sqref="A1:AM4"/>
    </sheetView>
  </sheetViews>
  <sheetFormatPr baseColWidth="10" defaultRowHeight="15" x14ac:dyDescent="0.25"/>
  <cols>
    <col min="1" max="1" width="14" customWidth="1"/>
    <col min="4" max="4" width="12.85546875" customWidth="1"/>
    <col min="7" max="7" width="20.42578125" bestFit="1" customWidth="1"/>
    <col min="8" max="8" width="14.5703125" customWidth="1"/>
    <col min="9" max="9" width="33.5703125" customWidth="1"/>
    <col min="10" max="10" width="36.85546875" customWidth="1"/>
    <col min="11" max="11" width="15.7109375" customWidth="1"/>
    <col min="12" max="12" width="28.42578125" customWidth="1"/>
    <col min="13" max="13" width="35.140625" customWidth="1"/>
    <col min="14" max="14" width="40.42578125" customWidth="1"/>
    <col min="15" max="15" width="20.28515625" customWidth="1"/>
    <col min="16" max="16" width="31.28515625" customWidth="1"/>
    <col min="17" max="17" width="33" customWidth="1"/>
    <col min="18" max="18" width="58.7109375" customWidth="1"/>
    <col min="19" max="19" width="36.42578125" customWidth="1"/>
    <col min="20" max="20" width="31.28515625" customWidth="1"/>
    <col min="21" max="21" width="15.140625" customWidth="1"/>
    <col min="22" max="22" width="18.85546875" customWidth="1"/>
    <col min="23" max="28" width="11.7109375" customWidth="1"/>
    <col min="29" max="37" width="9.42578125" customWidth="1"/>
    <col min="38" max="38" width="13" bestFit="1" customWidth="1"/>
    <col min="39" max="39" width="14.42578125" bestFit="1" customWidth="1"/>
    <col min="40" max="40" width="24" customWidth="1"/>
    <col min="41" max="41" width="25.42578125" customWidth="1"/>
  </cols>
  <sheetData>
    <row r="1" spans="1:49" ht="18" customHeight="1" x14ac:dyDescent="0.25">
      <c r="A1" s="2145" t="s">
        <v>561</v>
      </c>
      <c r="B1" s="2146"/>
      <c r="C1" s="2146"/>
      <c r="D1" s="2146"/>
      <c r="E1" s="2146"/>
      <c r="F1" s="2146"/>
      <c r="G1" s="2146"/>
      <c r="H1" s="2146"/>
      <c r="I1" s="2146"/>
      <c r="J1" s="2146"/>
      <c r="K1" s="2146"/>
      <c r="L1" s="2146"/>
      <c r="M1" s="2146"/>
      <c r="N1" s="2146"/>
      <c r="O1" s="2146"/>
      <c r="P1" s="2146"/>
      <c r="Q1" s="2146"/>
      <c r="R1" s="2146"/>
      <c r="S1" s="2146"/>
      <c r="T1" s="2146"/>
      <c r="U1" s="2146"/>
      <c r="V1" s="2146"/>
      <c r="W1" s="2146"/>
      <c r="X1" s="2146"/>
      <c r="Y1" s="2146"/>
      <c r="Z1" s="2146"/>
      <c r="AA1" s="2146"/>
      <c r="AB1" s="2146"/>
      <c r="AC1" s="2146"/>
      <c r="AD1" s="2146"/>
      <c r="AE1" s="2146"/>
      <c r="AF1" s="2146"/>
      <c r="AG1" s="2146"/>
      <c r="AH1" s="2146"/>
      <c r="AI1" s="2146"/>
      <c r="AJ1" s="2146"/>
      <c r="AK1" s="2146"/>
      <c r="AL1" s="2146"/>
      <c r="AM1" s="2146"/>
      <c r="AN1" s="358" t="s">
        <v>1</v>
      </c>
      <c r="AO1" s="459" t="s">
        <v>210</v>
      </c>
      <c r="AP1" s="180"/>
      <c r="AS1" s="180"/>
      <c r="AT1" s="180"/>
      <c r="AU1" s="180"/>
      <c r="AV1" s="180"/>
      <c r="AW1" s="180"/>
    </row>
    <row r="2" spans="1:49" x14ac:dyDescent="0.25">
      <c r="A2" s="2147"/>
      <c r="B2" s="2148"/>
      <c r="C2" s="2148"/>
      <c r="D2" s="2148"/>
      <c r="E2" s="2148"/>
      <c r="F2" s="2148"/>
      <c r="G2" s="2148"/>
      <c r="H2" s="2148"/>
      <c r="I2" s="2148"/>
      <c r="J2" s="2148"/>
      <c r="K2" s="2148"/>
      <c r="L2" s="2148"/>
      <c r="M2" s="2148"/>
      <c r="N2" s="2148"/>
      <c r="O2" s="2148"/>
      <c r="P2" s="2148"/>
      <c r="Q2" s="2148"/>
      <c r="R2" s="2148"/>
      <c r="S2" s="2148"/>
      <c r="T2" s="2148"/>
      <c r="U2" s="2148"/>
      <c r="V2" s="2148"/>
      <c r="W2" s="2148"/>
      <c r="X2" s="2148"/>
      <c r="Y2" s="2148"/>
      <c r="Z2" s="2148"/>
      <c r="AA2" s="2148"/>
      <c r="AB2" s="2148"/>
      <c r="AC2" s="2148"/>
      <c r="AD2" s="2148"/>
      <c r="AE2" s="2148"/>
      <c r="AF2" s="2148"/>
      <c r="AG2" s="2148"/>
      <c r="AH2" s="2148"/>
      <c r="AI2" s="2148"/>
      <c r="AJ2" s="2148"/>
      <c r="AK2" s="2148"/>
      <c r="AL2" s="2148"/>
      <c r="AM2" s="2148"/>
      <c r="AN2" s="361" t="s">
        <v>3</v>
      </c>
      <c r="AO2" s="460">
        <v>6</v>
      </c>
      <c r="AP2" s="180"/>
      <c r="AS2" s="180"/>
      <c r="AT2" s="180"/>
      <c r="AU2" s="180"/>
      <c r="AV2" s="180"/>
      <c r="AW2" s="180"/>
    </row>
    <row r="3" spans="1:49" x14ac:dyDescent="0.25">
      <c r="A3" s="2147"/>
      <c r="B3" s="2148"/>
      <c r="C3" s="2148"/>
      <c r="D3" s="2148"/>
      <c r="E3" s="2148"/>
      <c r="F3" s="2148"/>
      <c r="G3" s="2148"/>
      <c r="H3" s="2148"/>
      <c r="I3" s="2148"/>
      <c r="J3" s="2148"/>
      <c r="K3" s="2148"/>
      <c r="L3" s="2148"/>
      <c r="M3" s="2148"/>
      <c r="N3" s="2148"/>
      <c r="O3" s="2148"/>
      <c r="P3" s="2148"/>
      <c r="Q3" s="2148"/>
      <c r="R3" s="2148"/>
      <c r="S3" s="2148"/>
      <c r="T3" s="2148"/>
      <c r="U3" s="2148"/>
      <c r="V3" s="2148"/>
      <c r="W3" s="2148"/>
      <c r="X3" s="2148"/>
      <c r="Y3" s="2148"/>
      <c r="Z3" s="2148"/>
      <c r="AA3" s="2148"/>
      <c r="AB3" s="2148"/>
      <c r="AC3" s="2148"/>
      <c r="AD3" s="2148"/>
      <c r="AE3" s="2148"/>
      <c r="AF3" s="2148"/>
      <c r="AG3" s="2148"/>
      <c r="AH3" s="2148"/>
      <c r="AI3" s="2148"/>
      <c r="AJ3" s="2148"/>
      <c r="AK3" s="2148"/>
      <c r="AL3" s="2148"/>
      <c r="AM3" s="2148"/>
      <c r="AN3" s="361" t="s">
        <v>5</v>
      </c>
      <c r="AO3" s="461" t="s">
        <v>6</v>
      </c>
      <c r="AP3" s="180"/>
      <c r="AS3" s="180"/>
      <c r="AT3" s="180"/>
      <c r="AU3" s="180"/>
      <c r="AV3" s="180"/>
      <c r="AW3" s="180"/>
    </row>
    <row r="4" spans="1:49" x14ac:dyDescent="0.25">
      <c r="A4" s="2149"/>
      <c r="B4" s="2150"/>
      <c r="C4" s="2150"/>
      <c r="D4" s="2150"/>
      <c r="E4" s="2150"/>
      <c r="F4" s="2150"/>
      <c r="G4" s="2150"/>
      <c r="H4" s="2150"/>
      <c r="I4" s="2150"/>
      <c r="J4" s="2150"/>
      <c r="K4" s="2150"/>
      <c r="L4" s="2150"/>
      <c r="M4" s="2150"/>
      <c r="N4" s="2150"/>
      <c r="O4" s="2150"/>
      <c r="P4" s="2150"/>
      <c r="Q4" s="2150"/>
      <c r="R4" s="2150"/>
      <c r="S4" s="2150"/>
      <c r="T4" s="2150"/>
      <c r="U4" s="2150"/>
      <c r="V4" s="2150"/>
      <c r="W4" s="2150"/>
      <c r="X4" s="2150"/>
      <c r="Y4" s="2150"/>
      <c r="Z4" s="2150"/>
      <c r="AA4" s="2150"/>
      <c r="AB4" s="2150"/>
      <c r="AC4" s="2150"/>
      <c r="AD4" s="2150"/>
      <c r="AE4" s="2150"/>
      <c r="AF4" s="2150"/>
      <c r="AG4" s="2150"/>
      <c r="AH4" s="2150"/>
      <c r="AI4" s="2150"/>
      <c r="AJ4" s="2150"/>
      <c r="AK4" s="2150"/>
      <c r="AL4" s="2150"/>
      <c r="AM4" s="2150"/>
      <c r="AN4" s="361" t="s">
        <v>7</v>
      </c>
      <c r="AO4" s="635" t="s">
        <v>287</v>
      </c>
      <c r="AP4" s="180"/>
      <c r="AS4" s="180"/>
      <c r="AT4" s="180"/>
      <c r="AU4" s="180"/>
      <c r="AV4" s="180"/>
      <c r="AW4" s="180"/>
    </row>
    <row r="5" spans="1:49" ht="15.75" x14ac:dyDescent="0.25">
      <c r="A5" s="2151" t="s">
        <v>288</v>
      </c>
      <c r="B5" s="2152"/>
      <c r="C5" s="2152"/>
      <c r="D5" s="2152"/>
      <c r="E5" s="2152"/>
      <c r="F5" s="2152"/>
      <c r="G5" s="2152"/>
      <c r="H5" s="2152"/>
      <c r="I5" s="2152"/>
      <c r="J5" s="2152"/>
      <c r="K5" s="2152"/>
      <c r="L5" s="2380" t="s">
        <v>10</v>
      </c>
      <c r="M5" s="2380"/>
      <c r="N5" s="2380"/>
      <c r="O5" s="2380"/>
      <c r="P5" s="2380"/>
      <c r="Q5" s="2380"/>
      <c r="R5" s="2380"/>
      <c r="S5" s="2380"/>
      <c r="T5" s="2380"/>
      <c r="U5" s="2380"/>
      <c r="V5" s="2380"/>
      <c r="W5" s="2380"/>
      <c r="X5" s="2380"/>
      <c r="Y5" s="2380"/>
      <c r="Z5" s="2380"/>
      <c r="AA5" s="2380"/>
      <c r="AB5" s="2380"/>
      <c r="AC5" s="2380"/>
      <c r="AD5" s="2380"/>
      <c r="AE5" s="2380"/>
      <c r="AF5" s="2380"/>
      <c r="AG5" s="2380"/>
      <c r="AH5" s="2380"/>
      <c r="AI5" s="2380"/>
      <c r="AJ5" s="2380"/>
      <c r="AK5" s="2380"/>
      <c r="AL5" s="2380"/>
      <c r="AM5" s="2380"/>
      <c r="AN5" s="2380"/>
      <c r="AO5" s="2381"/>
      <c r="AP5" s="3"/>
      <c r="AQ5" s="3"/>
      <c r="AR5" s="3"/>
      <c r="AS5" s="3"/>
      <c r="AT5" s="3"/>
      <c r="AU5" s="3"/>
      <c r="AV5" s="3"/>
      <c r="AW5" s="3"/>
    </row>
    <row r="6" spans="1:49" ht="15.75" x14ac:dyDescent="0.25">
      <c r="A6" s="2153"/>
      <c r="B6" s="2154"/>
      <c r="C6" s="2154"/>
      <c r="D6" s="2154"/>
      <c r="E6" s="2154"/>
      <c r="F6" s="2154"/>
      <c r="G6" s="2154"/>
      <c r="H6" s="2154"/>
      <c r="I6" s="2154"/>
      <c r="J6" s="2154"/>
      <c r="K6" s="2154"/>
      <c r="L6" s="368"/>
      <c r="M6" s="636"/>
      <c r="N6" s="370"/>
      <c r="O6" s="456"/>
      <c r="P6" s="456"/>
      <c r="Q6" s="456"/>
      <c r="R6" s="456"/>
      <c r="S6" s="456"/>
      <c r="T6" s="371"/>
      <c r="U6" s="456"/>
      <c r="V6" s="456"/>
      <c r="W6" s="2382" t="s">
        <v>11</v>
      </c>
      <c r="X6" s="2154"/>
      <c r="Y6" s="2154"/>
      <c r="Z6" s="2154"/>
      <c r="AA6" s="2154"/>
      <c r="AB6" s="2154"/>
      <c r="AC6" s="2154"/>
      <c r="AD6" s="2154"/>
      <c r="AE6" s="2154"/>
      <c r="AF6" s="2154"/>
      <c r="AG6" s="2154"/>
      <c r="AH6" s="2154"/>
      <c r="AI6" s="2154"/>
      <c r="AJ6" s="2154"/>
      <c r="AK6" s="2154"/>
      <c r="AL6" s="372"/>
      <c r="AM6" s="373"/>
      <c r="AN6" s="373"/>
      <c r="AO6" s="637"/>
      <c r="AP6" s="3"/>
      <c r="AQ6" s="3"/>
      <c r="AR6" s="3"/>
      <c r="AS6" s="3"/>
      <c r="AT6" s="3"/>
      <c r="AU6" s="3"/>
      <c r="AV6" s="3"/>
      <c r="AW6" s="3"/>
    </row>
    <row r="7" spans="1:49" ht="30" customHeight="1" x14ac:dyDescent="0.25">
      <c r="A7" s="3650" t="s">
        <v>12</v>
      </c>
      <c r="B7" s="3339" t="s">
        <v>13</v>
      </c>
      <c r="C7" s="3339"/>
      <c r="D7" s="3339" t="s">
        <v>12</v>
      </c>
      <c r="E7" s="3339" t="s">
        <v>14</v>
      </c>
      <c r="F7" s="3339"/>
      <c r="G7" s="3339" t="s">
        <v>12</v>
      </c>
      <c r="H7" s="3339" t="s">
        <v>562</v>
      </c>
      <c r="I7" s="3339" t="s">
        <v>15</v>
      </c>
      <c r="J7" s="3339" t="s">
        <v>16</v>
      </c>
      <c r="K7" s="3339" t="s">
        <v>563</v>
      </c>
      <c r="L7" s="3339" t="s">
        <v>18</v>
      </c>
      <c r="M7" s="3339" t="s">
        <v>19</v>
      </c>
      <c r="N7" s="3339" t="s">
        <v>10</v>
      </c>
      <c r="O7" s="3667" t="s">
        <v>20</v>
      </c>
      <c r="P7" s="3646" t="s">
        <v>21</v>
      </c>
      <c r="Q7" s="3339" t="s">
        <v>22</v>
      </c>
      <c r="R7" s="3339" t="s">
        <v>23</v>
      </c>
      <c r="S7" s="3667" t="s">
        <v>564</v>
      </c>
      <c r="T7" s="3646" t="s">
        <v>21</v>
      </c>
      <c r="U7" s="3650" t="s">
        <v>12</v>
      </c>
      <c r="V7" s="3339" t="s">
        <v>25</v>
      </c>
      <c r="W7" s="3770" t="s">
        <v>26</v>
      </c>
      <c r="X7" s="3771"/>
      <c r="Y7" s="3772" t="s">
        <v>27</v>
      </c>
      <c r="Z7" s="3773"/>
      <c r="AA7" s="3773"/>
      <c r="AB7" s="3773"/>
      <c r="AC7" s="3774" t="s">
        <v>28</v>
      </c>
      <c r="AD7" s="3775"/>
      <c r="AE7" s="3775"/>
      <c r="AF7" s="3775"/>
      <c r="AG7" s="3775"/>
      <c r="AH7" s="3775"/>
      <c r="AI7" s="3772" t="s">
        <v>29</v>
      </c>
      <c r="AJ7" s="3773"/>
      <c r="AK7" s="3773"/>
      <c r="AL7" s="3777" t="s">
        <v>30</v>
      </c>
      <c r="AM7" s="3341" t="s">
        <v>31</v>
      </c>
      <c r="AN7" s="3341" t="s">
        <v>32</v>
      </c>
      <c r="AO7" s="2239" t="s">
        <v>33</v>
      </c>
      <c r="AP7" s="3"/>
      <c r="AQ7" s="3"/>
      <c r="AR7" s="3"/>
      <c r="AS7" s="3"/>
      <c r="AT7" s="3"/>
      <c r="AU7" s="3"/>
      <c r="AV7" s="3"/>
      <c r="AW7" s="3"/>
    </row>
    <row r="8" spans="1:49" ht="96.75" customHeight="1" x14ac:dyDescent="0.25">
      <c r="A8" s="3650"/>
      <c r="B8" s="3339"/>
      <c r="C8" s="3339"/>
      <c r="D8" s="3339"/>
      <c r="E8" s="3339"/>
      <c r="F8" s="3339"/>
      <c r="G8" s="3339"/>
      <c r="H8" s="3339"/>
      <c r="I8" s="3339"/>
      <c r="J8" s="3339"/>
      <c r="K8" s="3339"/>
      <c r="L8" s="3339"/>
      <c r="M8" s="3339"/>
      <c r="N8" s="3339"/>
      <c r="O8" s="3667"/>
      <c r="P8" s="3646"/>
      <c r="Q8" s="3339"/>
      <c r="R8" s="3339"/>
      <c r="S8" s="3667"/>
      <c r="T8" s="3646"/>
      <c r="U8" s="3650"/>
      <c r="V8" s="3339"/>
      <c r="W8" s="3656" t="s">
        <v>35</v>
      </c>
      <c r="X8" s="3658" t="s">
        <v>36</v>
      </c>
      <c r="Y8" s="3656" t="s">
        <v>37</v>
      </c>
      <c r="Z8" s="3656" t="s">
        <v>38</v>
      </c>
      <c r="AA8" s="3656" t="s">
        <v>213</v>
      </c>
      <c r="AB8" s="3656" t="s">
        <v>40</v>
      </c>
      <c r="AC8" s="3656" t="s">
        <v>41</v>
      </c>
      <c r="AD8" s="3656" t="s">
        <v>42</v>
      </c>
      <c r="AE8" s="3656" t="s">
        <v>43</v>
      </c>
      <c r="AF8" s="3656" t="s">
        <v>44</v>
      </c>
      <c r="AG8" s="3656" t="s">
        <v>45</v>
      </c>
      <c r="AH8" s="3656" t="s">
        <v>46</v>
      </c>
      <c r="AI8" s="3656" t="s">
        <v>47</v>
      </c>
      <c r="AJ8" s="3656" t="s">
        <v>48</v>
      </c>
      <c r="AK8" s="3656" t="s">
        <v>49</v>
      </c>
      <c r="AL8" s="3778"/>
      <c r="AM8" s="3342"/>
      <c r="AN8" s="3342"/>
      <c r="AO8" s="2240"/>
      <c r="AP8" s="3"/>
      <c r="AQ8" s="3"/>
      <c r="AR8" s="3"/>
      <c r="AS8" s="3"/>
      <c r="AT8" s="3"/>
      <c r="AU8" s="3"/>
      <c r="AV8" s="3"/>
      <c r="AW8" s="3"/>
    </row>
    <row r="9" spans="1:49" ht="26.25" customHeight="1" x14ac:dyDescent="0.25">
      <c r="A9" s="3650"/>
      <c r="B9" s="3339"/>
      <c r="C9" s="3339"/>
      <c r="D9" s="3339"/>
      <c r="E9" s="3339"/>
      <c r="F9" s="3339"/>
      <c r="G9" s="3339"/>
      <c r="H9" s="3339"/>
      <c r="I9" s="3339"/>
      <c r="J9" s="3339"/>
      <c r="K9" s="3339"/>
      <c r="L9" s="3339"/>
      <c r="M9" s="3339"/>
      <c r="N9" s="3339"/>
      <c r="O9" s="3667"/>
      <c r="P9" s="3646"/>
      <c r="Q9" s="3339"/>
      <c r="R9" s="3339"/>
      <c r="S9" s="3667"/>
      <c r="T9" s="3646"/>
      <c r="U9" s="3650"/>
      <c r="V9" s="3339"/>
      <c r="W9" s="3657"/>
      <c r="X9" s="3659"/>
      <c r="Y9" s="3657"/>
      <c r="Z9" s="3657"/>
      <c r="AA9" s="3657"/>
      <c r="AB9" s="3657"/>
      <c r="AC9" s="3657"/>
      <c r="AD9" s="3657"/>
      <c r="AE9" s="3657"/>
      <c r="AF9" s="3657"/>
      <c r="AG9" s="3657"/>
      <c r="AH9" s="3657"/>
      <c r="AI9" s="3657"/>
      <c r="AJ9" s="3657"/>
      <c r="AK9" s="3657"/>
      <c r="AL9" s="3779"/>
      <c r="AM9" s="3654"/>
      <c r="AN9" s="3654"/>
      <c r="AO9" s="638"/>
      <c r="AP9" s="3"/>
      <c r="AQ9" s="3"/>
      <c r="AR9" s="3"/>
      <c r="AS9" s="3"/>
      <c r="AT9" s="3"/>
      <c r="AU9" s="3"/>
      <c r="AV9" s="3"/>
      <c r="AW9" s="3"/>
    </row>
    <row r="10" spans="1:49" ht="15.75" x14ac:dyDescent="0.25">
      <c r="A10" s="639">
        <v>1</v>
      </c>
      <c r="B10" s="191" t="s">
        <v>565</v>
      </c>
      <c r="C10" s="640"/>
      <c r="D10" s="193"/>
      <c r="E10" s="641"/>
      <c r="F10" s="641"/>
      <c r="G10" s="641"/>
      <c r="H10" s="641"/>
      <c r="I10" s="642"/>
      <c r="J10" s="643"/>
      <c r="K10" s="641"/>
      <c r="L10" s="641"/>
      <c r="M10" s="644"/>
      <c r="N10" s="644"/>
      <c r="O10" s="645"/>
      <c r="P10" s="645"/>
      <c r="Q10" s="645"/>
      <c r="R10" s="645"/>
      <c r="S10" s="645"/>
      <c r="T10" s="641"/>
      <c r="U10" s="641"/>
      <c r="V10" s="643"/>
      <c r="W10" s="641"/>
      <c r="X10" s="641"/>
      <c r="Y10" s="641"/>
      <c r="Z10" s="641"/>
      <c r="AA10" s="641"/>
      <c r="AB10" s="641"/>
      <c r="AC10" s="641"/>
      <c r="AD10" s="641"/>
      <c r="AE10" s="641"/>
      <c r="AF10" s="641"/>
      <c r="AG10" s="641"/>
      <c r="AH10" s="641"/>
      <c r="AI10" s="641"/>
      <c r="AJ10" s="641"/>
      <c r="AK10" s="641"/>
      <c r="AL10" s="641"/>
      <c r="AM10" s="641"/>
      <c r="AN10" s="641"/>
      <c r="AO10" s="641"/>
      <c r="AP10" s="4"/>
      <c r="AQ10" s="4"/>
      <c r="AR10" s="4"/>
      <c r="AS10" s="4"/>
      <c r="AT10" s="4"/>
      <c r="AU10" s="4"/>
      <c r="AV10" s="4"/>
      <c r="AW10" s="4"/>
    </row>
    <row r="11" spans="1:49" ht="15.75" x14ac:dyDescent="0.25">
      <c r="A11" s="646"/>
      <c r="B11" s="647"/>
      <c r="C11" s="648"/>
      <c r="D11" s="649">
        <v>39</v>
      </c>
      <c r="E11" s="207" t="s">
        <v>566</v>
      </c>
      <c r="F11" s="208"/>
      <c r="G11" s="209"/>
      <c r="H11" s="209"/>
      <c r="I11" s="650"/>
      <c r="J11" s="651"/>
      <c r="K11" s="211"/>
      <c r="L11" s="210"/>
      <c r="M11" s="652"/>
      <c r="N11" s="653"/>
      <c r="O11" s="654"/>
      <c r="P11" s="654"/>
      <c r="Q11" s="654"/>
      <c r="R11" s="654"/>
      <c r="S11" s="654"/>
      <c r="T11" s="655"/>
      <c r="U11" s="656"/>
      <c r="V11" s="657"/>
      <c r="W11" s="656"/>
      <c r="X11" s="656"/>
      <c r="Y11" s="656"/>
      <c r="Z11" s="656"/>
      <c r="AA11" s="656"/>
      <c r="AB11" s="656"/>
      <c r="AC11" s="656"/>
      <c r="AD11" s="656"/>
      <c r="AE11" s="656"/>
      <c r="AF11" s="656"/>
      <c r="AG11" s="656"/>
      <c r="AH11" s="656"/>
      <c r="AI11" s="656"/>
      <c r="AJ11" s="656"/>
      <c r="AK11" s="656"/>
      <c r="AL11" s="656"/>
      <c r="AM11" s="656"/>
      <c r="AN11" s="656"/>
      <c r="AO11" s="656"/>
      <c r="AP11" s="4"/>
      <c r="AQ11" s="4"/>
      <c r="AR11" s="4"/>
      <c r="AS11" s="4"/>
      <c r="AT11" s="4"/>
      <c r="AU11" s="4"/>
      <c r="AV11" s="4"/>
      <c r="AW11" s="4"/>
    </row>
    <row r="12" spans="1:49" s="485" customFormat="1" ht="207" customHeight="1" x14ac:dyDescent="0.25">
      <c r="A12" s="658"/>
      <c r="B12" s="659"/>
      <c r="C12" s="660"/>
      <c r="D12" s="2003"/>
      <c r="E12" s="594"/>
      <c r="F12" s="661"/>
      <c r="G12" s="1723" t="s">
        <v>567</v>
      </c>
      <c r="H12" s="662">
        <v>39.4</v>
      </c>
      <c r="I12" s="663" t="s">
        <v>568</v>
      </c>
      <c r="J12" s="664" t="s">
        <v>569</v>
      </c>
      <c r="K12" s="1720">
        <v>3</v>
      </c>
      <c r="L12" s="1682" t="s">
        <v>570</v>
      </c>
      <c r="M12" s="1695" t="s">
        <v>571</v>
      </c>
      <c r="N12" s="1694" t="s">
        <v>572</v>
      </c>
      <c r="O12" s="665">
        <v>1</v>
      </c>
      <c r="P12" s="666">
        <f>+T12</f>
        <v>372570330</v>
      </c>
      <c r="Q12" s="1694" t="s">
        <v>573</v>
      </c>
      <c r="R12" s="1694" t="s">
        <v>574</v>
      </c>
      <c r="S12" s="667" t="s">
        <v>575</v>
      </c>
      <c r="T12" s="668">
        <f>+'[1]Metas Producto F-PLA 47'!Q16</f>
        <v>372570330</v>
      </c>
      <c r="U12" s="525">
        <v>4</v>
      </c>
      <c r="V12" s="669" t="s">
        <v>576</v>
      </c>
      <c r="W12" s="3776">
        <v>252272</v>
      </c>
      <c r="X12" s="3776">
        <v>257368</v>
      </c>
      <c r="Y12" s="3776">
        <v>76446</v>
      </c>
      <c r="Z12" s="3776">
        <v>127410</v>
      </c>
      <c r="AA12" s="3776">
        <v>178374</v>
      </c>
      <c r="AB12" s="3776">
        <v>127410</v>
      </c>
      <c r="AC12" s="3776">
        <v>0</v>
      </c>
      <c r="AD12" s="3776">
        <v>0</v>
      </c>
      <c r="AE12" s="3776">
        <v>0</v>
      </c>
      <c r="AF12" s="3776">
        <v>0</v>
      </c>
      <c r="AG12" s="3776">
        <v>0</v>
      </c>
      <c r="AH12" s="3776">
        <v>0</v>
      </c>
      <c r="AI12" s="3776">
        <v>0</v>
      </c>
      <c r="AJ12" s="3776">
        <v>0</v>
      </c>
      <c r="AK12" s="3776">
        <v>0</v>
      </c>
      <c r="AL12" s="3776">
        <f>+W12+X12</f>
        <v>509640</v>
      </c>
      <c r="AM12" s="3780">
        <v>43831</v>
      </c>
      <c r="AN12" s="3780">
        <v>44196</v>
      </c>
      <c r="AO12" s="3783" t="s">
        <v>577</v>
      </c>
      <c r="AP12" s="58"/>
      <c r="AQ12" s="58"/>
      <c r="AR12" s="58"/>
      <c r="AS12" s="58"/>
      <c r="AT12" s="58"/>
      <c r="AU12" s="58"/>
      <c r="AV12" s="58"/>
      <c r="AW12" s="58"/>
    </row>
    <row r="13" spans="1:49" s="485" customFormat="1" ht="15.75" x14ac:dyDescent="0.25">
      <c r="A13" s="670"/>
      <c r="B13" s="671"/>
      <c r="C13" s="672"/>
      <c r="D13" s="649">
        <v>15</v>
      </c>
      <c r="E13" s="207" t="s">
        <v>578</v>
      </c>
      <c r="F13" s="207"/>
      <c r="G13" s="673"/>
      <c r="H13" s="673"/>
      <c r="I13" s="208"/>
      <c r="J13" s="674"/>
      <c r="K13" s="675"/>
      <c r="L13" s="675"/>
      <c r="M13" s="1513"/>
      <c r="N13" s="676"/>
      <c r="O13" s="677"/>
      <c r="P13" s="678"/>
      <c r="Q13" s="679"/>
      <c r="R13" s="679"/>
      <c r="S13" s="679"/>
      <c r="T13" s="680"/>
      <c r="U13" s="681"/>
      <c r="V13" s="682"/>
      <c r="W13" s="3776"/>
      <c r="X13" s="3776"/>
      <c r="Y13" s="3776"/>
      <c r="Z13" s="3776"/>
      <c r="AA13" s="3776"/>
      <c r="AB13" s="3776"/>
      <c r="AC13" s="3776"/>
      <c r="AD13" s="3776"/>
      <c r="AE13" s="3776"/>
      <c r="AF13" s="3776"/>
      <c r="AG13" s="3776"/>
      <c r="AH13" s="3776"/>
      <c r="AI13" s="3776"/>
      <c r="AJ13" s="3776"/>
      <c r="AK13" s="3776"/>
      <c r="AL13" s="3776"/>
      <c r="AM13" s="3781"/>
      <c r="AN13" s="3781"/>
      <c r="AO13" s="3784"/>
      <c r="AP13" s="4"/>
      <c r="AQ13" s="4"/>
      <c r="AR13" s="4"/>
      <c r="AS13" s="4"/>
      <c r="AT13" s="4"/>
      <c r="AU13" s="4"/>
      <c r="AV13" s="4"/>
      <c r="AW13" s="4"/>
    </row>
    <row r="14" spans="1:49" s="485" customFormat="1" ht="56.25" customHeight="1" x14ac:dyDescent="0.25">
      <c r="A14" s="658"/>
      <c r="B14" s="659"/>
      <c r="C14" s="659"/>
      <c r="D14" s="3786"/>
      <c r="E14" s="3788"/>
      <c r="F14" s="3790"/>
      <c r="G14" s="3792" t="s">
        <v>567</v>
      </c>
      <c r="H14" s="3793">
        <v>15.32</v>
      </c>
      <c r="I14" s="3795" t="s">
        <v>579</v>
      </c>
      <c r="J14" s="3796" t="s">
        <v>580</v>
      </c>
      <c r="K14" s="3694">
        <v>9</v>
      </c>
      <c r="L14" s="2836" t="s">
        <v>581</v>
      </c>
      <c r="M14" s="2836" t="s">
        <v>571</v>
      </c>
      <c r="N14" s="3102" t="s">
        <v>572</v>
      </c>
      <c r="O14" s="3433">
        <v>1</v>
      </c>
      <c r="P14" s="683">
        <f>+T14</f>
        <v>372570330</v>
      </c>
      <c r="Q14" s="3102" t="s">
        <v>573</v>
      </c>
      <c r="R14" s="3102" t="s">
        <v>574</v>
      </c>
      <c r="S14" s="3799" t="s">
        <v>582</v>
      </c>
      <c r="T14" s="668">
        <f>+'[1]Metas Producto F-PLA 47'!Q17</f>
        <v>372570330</v>
      </c>
      <c r="U14" s="684">
        <v>4</v>
      </c>
      <c r="V14" s="669" t="s">
        <v>576</v>
      </c>
      <c r="W14" s="3776"/>
      <c r="X14" s="3776"/>
      <c r="Y14" s="3776"/>
      <c r="Z14" s="3776"/>
      <c r="AA14" s="3776"/>
      <c r="AB14" s="3776"/>
      <c r="AC14" s="3776"/>
      <c r="AD14" s="3776"/>
      <c r="AE14" s="3776"/>
      <c r="AF14" s="3776"/>
      <c r="AG14" s="3776"/>
      <c r="AH14" s="3776"/>
      <c r="AI14" s="3776"/>
      <c r="AJ14" s="3776"/>
      <c r="AK14" s="3776"/>
      <c r="AL14" s="3776"/>
      <c r="AM14" s="3781"/>
      <c r="AN14" s="3781"/>
      <c r="AO14" s="3784"/>
      <c r="AP14" s="58"/>
      <c r="AQ14" s="58"/>
      <c r="AR14" s="58"/>
      <c r="AS14" s="58"/>
      <c r="AT14" s="58"/>
      <c r="AU14" s="58"/>
      <c r="AV14" s="58"/>
      <c r="AW14" s="58"/>
    </row>
    <row r="15" spans="1:49" s="485" customFormat="1" ht="56.25" customHeight="1" x14ac:dyDescent="0.25">
      <c r="A15" s="593"/>
      <c r="B15" s="134"/>
      <c r="C15" s="134"/>
      <c r="D15" s="3787"/>
      <c r="E15" s="3789"/>
      <c r="F15" s="3791"/>
      <c r="G15" s="3792"/>
      <c r="H15" s="3794"/>
      <c r="I15" s="3795"/>
      <c r="J15" s="3796"/>
      <c r="K15" s="3694"/>
      <c r="L15" s="2836"/>
      <c r="M15" s="2836"/>
      <c r="N15" s="3102"/>
      <c r="O15" s="3433"/>
      <c r="P15" s="685">
        <f>+T15</f>
        <v>145520000</v>
      </c>
      <c r="Q15" s="3102"/>
      <c r="R15" s="3102"/>
      <c r="S15" s="3800"/>
      <c r="T15" s="668">
        <f>+'[1]Metas Producto F-PLA 47'!Q18</f>
        <v>145520000</v>
      </c>
      <c r="U15" s="525">
        <v>3</v>
      </c>
      <c r="V15" s="669" t="s">
        <v>583</v>
      </c>
      <c r="W15" s="3776"/>
      <c r="X15" s="3776"/>
      <c r="Y15" s="3776"/>
      <c r="Z15" s="3776"/>
      <c r="AA15" s="3776"/>
      <c r="AB15" s="3776"/>
      <c r="AC15" s="3776"/>
      <c r="AD15" s="3776"/>
      <c r="AE15" s="3776"/>
      <c r="AF15" s="3776"/>
      <c r="AG15" s="3776"/>
      <c r="AH15" s="3776"/>
      <c r="AI15" s="3776"/>
      <c r="AJ15" s="3776"/>
      <c r="AK15" s="3776"/>
      <c r="AL15" s="3776"/>
      <c r="AM15" s="3781"/>
      <c r="AN15" s="3781"/>
      <c r="AO15" s="3784"/>
      <c r="AP15" s="58"/>
      <c r="AQ15" s="58"/>
      <c r="AR15" s="58"/>
      <c r="AS15" s="58"/>
      <c r="AT15" s="58"/>
      <c r="AU15" s="58"/>
      <c r="AV15" s="58"/>
      <c r="AW15" s="58"/>
    </row>
    <row r="16" spans="1:49" s="485" customFormat="1" ht="15.75" x14ac:dyDescent="0.25">
      <c r="A16" s="686">
        <v>3</v>
      </c>
      <c r="B16" s="687" t="s">
        <v>584</v>
      </c>
      <c r="C16" s="688"/>
      <c r="D16" s="689"/>
      <c r="E16" s="689"/>
      <c r="F16" s="689"/>
      <c r="G16" s="689"/>
      <c r="H16" s="689"/>
      <c r="I16" s="690"/>
      <c r="J16" s="691"/>
      <c r="K16" s="692"/>
      <c r="L16" s="692"/>
      <c r="M16" s="692"/>
      <c r="N16" s="690"/>
      <c r="O16" s="692"/>
      <c r="P16" s="693"/>
      <c r="Q16" s="691"/>
      <c r="R16" s="691"/>
      <c r="S16" s="691"/>
      <c r="T16" s="694"/>
      <c r="U16" s="695"/>
      <c r="V16" s="696"/>
      <c r="W16" s="3776"/>
      <c r="X16" s="3776"/>
      <c r="Y16" s="3776"/>
      <c r="Z16" s="3776"/>
      <c r="AA16" s="3776"/>
      <c r="AB16" s="3776"/>
      <c r="AC16" s="3776"/>
      <c r="AD16" s="3776"/>
      <c r="AE16" s="3776"/>
      <c r="AF16" s="3776"/>
      <c r="AG16" s="3776"/>
      <c r="AH16" s="3776"/>
      <c r="AI16" s="3776"/>
      <c r="AJ16" s="3776"/>
      <c r="AK16" s="3776"/>
      <c r="AL16" s="3776"/>
      <c r="AM16" s="3781"/>
      <c r="AN16" s="3781"/>
      <c r="AO16" s="3784"/>
      <c r="AP16" s="4"/>
      <c r="AQ16" s="4"/>
      <c r="AR16" s="4"/>
      <c r="AS16" s="4"/>
      <c r="AT16" s="4"/>
      <c r="AU16" s="4"/>
      <c r="AV16" s="4"/>
      <c r="AW16" s="4"/>
    </row>
    <row r="17" spans="1:49" s="485" customFormat="1" ht="15.75" x14ac:dyDescent="0.25">
      <c r="A17" s="646"/>
      <c r="B17" s="647"/>
      <c r="C17" s="648"/>
      <c r="D17" s="649">
        <v>18</v>
      </c>
      <c r="E17" s="207" t="s">
        <v>585</v>
      </c>
      <c r="F17" s="207"/>
      <c r="G17" s="697"/>
      <c r="H17" s="697"/>
      <c r="I17" s="210"/>
      <c r="J17" s="651"/>
      <c r="K17" s="698"/>
      <c r="L17" s="698"/>
      <c r="M17" s="1490"/>
      <c r="N17" s="676"/>
      <c r="O17" s="677"/>
      <c r="P17" s="678"/>
      <c r="Q17" s="679"/>
      <c r="R17" s="679"/>
      <c r="S17" s="679"/>
      <c r="T17" s="680"/>
      <c r="U17" s="699"/>
      <c r="V17" s="657"/>
      <c r="W17" s="3776"/>
      <c r="X17" s="3776"/>
      <c r="Y17" s="3776"/>
      <c r="Z17" s="3776"/>
      <c r="AA17" s="3776"/>
      <c r="AB17" s="3776"/>
      <c r="AC17" s="3776"/>
      <c r="AD17" s="3776"/>
      <c r="AE17" s="3776"/>
      <c r="AF17" s="3776"/>
      <c r="AG17" s="3776"/>
      <c r="AH17" s="3776"/>
      <c r="AI17" s="3776"/>
      <c r="AJ17" s="3776"/>
      <c r="AK17" s="3776"/>
      <c r="AL17" s="3776"/>
      <c r="AM17" s="3781"/>
      <c r="AN17" s="3781"/>
      <c r="AO17" s="3784"/>
      <c r="AP17" s="4"/>
      <c r="AQ17" s="4"/>
      <c r="AR17" s="4"/>
      <c r="AS17" s="4"/>
      <c r="AT17" s="4"/>
      <c r="AU17" s="4"/>
      <c r="AV17" s="4"/>
      <c r="AW17" s="4"/>
    </row>
    <row r="18" spans="1:49" s="485" customFormat="1" ht="75" x14ac:dyDescent="0.25">
      <c r="A18" s="700"/>
      <c r="B18" s="148"/>
      <c r="C18" s="148"/>
      <c r="D18" s="701"/>
      <c r="E18" s="594"/>
      <c r="F18" s="595"/>
      <c r="G18" s="702" t="s">
        <v>567</v>
      </c>
      <c r="H18" s="703">
        <v>18.2</v>
      </c>
      <c r="I18" s="1680" t="s">
        <v>586</v>
      </c>
      <c r="J18" s="1667" t="s">
        <v>587</v>
      </c>
      <c r="K18" s="1720">
        <v>130</v>
      </c>
      <c r="L18" s="1682" t="s">
        <v>588</v>
      </c>
      <c r="M18" s="1682" t="s">
        <v>571</v>
      </c>
      <c r="N18" s="1694" t="s">
        <v>572</v>
      </c>
      <c r="O18" s="1705">
        <v>1</v>
      </c>
      <c r="P18" s="704">
        <f>+T18</f>
        <v>218280000</v>
      </c>
      <c r="Q18" s="1694" t="s">
        <v>573</v>
      </c>
      <c r="R18" s="1694" t="s">
        <v>574</v>
      </c>
      <c r="S18" s="705" t="s">
        <v>589</v>
      </c>
      <c r="T18" s="668">
        <f>+'[1]Metas Producto F-PLA 47'!Q19</f>
        <v>218280000</v>
      </c>
      <c r="U18" s="525">
        <v>3</v>
      </c>
      <c r="V18" s="669" t="s">
        <v>583</v>
      </c>
      <c r="W18" s="3776"/>
      <c r="X18" s="3776"/>
      <c r="Y18" s="3776"/>
      <c r="Z18" s="3776"/>
      <c r="AA18" s="3776"/>
      <c r="AB18" s="3776"/>
      <c r="AC18" s="3776"/>
      <c r="AD18" s="3776"/>
      <c r="AE18" s="3776"/>
      <c r="AF18" s="3776"/>
      <c r="AG18" s="3776"/>
      <c r="AH18" s="3776"/>
      <c r="AI18" s="3776"/>
      <c r="AJ18" s="3776"/>
      <c r="AK18" s="3776"/>
      <c r="AL18" s="3776"/>
      <c r="AM18" s="3781"/>
      <c r="AN18" s="3781"/>
      <c r="AO18" s="3784"/>
    </row>
    <row r="19" spans="1:49" s="485" customFormat="1" ht="15.75" x14ac:dyDescent="0.25">
      <c r="A19" s="670"/>
      <c r="B19" s="671"/>
      <c r="C19" s="672"/>
      <c r="D19" s="706">
        <v>33</v>
      </c>
      <c r="E19" s="707" t="s">
        <v>590</v>
      </c>
      <c r="F19" s="707"/>
      <c r="G19" s="697"/>
      <c r="H19" s="673"/>
      <c r="I19" s="208"/>
      <c r="J19" s="674"/>
      <c r="K19" s="675"/>
      <c r="L19" s="675"/>
      <c r="M19" s="1513"/>
      <c r="N19" s="676"/>
      <c r="O19" s="677"/>
      <c r="P19" s="678"/>
      <c r="Q19" s="679"/>
      <c r="R19" s="679"/>
      <c r="S19" s="679"/>
      <c r="T19" s="680"/>
      <c r="U19" s="681"/>
      <c r="V19" s="682"/>
      <c r="W19" s="3776"/>
      <c r="X19" s="3776"/>
      <c r="Y19" s="3776"/>
      <c r="Z19" s="3776"/>
      <c r="AA19" s="3776"/>
      <c r="AB19" s="3776"/>
      <c r="AC19" s="3776"/>
      <c r="AD19" s="3776"/>
      <c r="AE19" s="3776"/>
      <c r="AF19" s="3776"/>
      <c r="AG19" s="3776"/>
      <c r="AH19" s="3776"/>
      <c r="AI19" s="3776"/>
      <c r="AJ19" s="3776"/>
      <c r="AK19" s="3776"/>
      <c r="AL19" s="3776"/>
      <c r="AM19" s="3781"/>
      <c r="AN19" s="3781"/>
      <c r="AO19" s="3784"/>
    </row>
    <row r="20" spans="1:49" s="485" customFormat="1" ht="87.75" customHeight="1" x14ac:dyDescent="0.25">
      <c r="A20" s="658"/>
      <c r="B20" s="659"/>
      <c r="C20" s="660"/>
      <c r="D20" s="225"/>
      <c r="E20" s="225"/>
      <c r="F20" s="708"/>
      <c r="G20" s="709" t="s">
        <v>591</v>
      </c>
      <c r="H20" s="709">
        <v>33.1</v>
      </c>
      <c r="I20" s="1699" t="s">
        <v>592</v>
      </c>
      <c r="J20" s="710" t="s">
        <v>593</v>
      </c>
      <c r="K20" s="1720">
        <v>3</v>
      </c>
      <c r="L20" s="3101" t="s">
        <v>581</v>
      </c>
      <c r="M20" s="3101" t="s">
        <v>571</v>
      </c>
      <c r="N20" s="3102" t="s">
        <v>572</v>
      </c>
      <c r="O20" s="665">
        <v>0.15874806098115857</v>
      </c>
      <c r="P20" s="711">
        <f>+T20</f>
        <v>89176000</v>
      </c>
      <c r="Q20" s="3102" t="s">
        <v>573</v>
      </c>
      <c r="R20" s="3102" t="s">
        <v>574</v>
      </c>
      <c r="S20" s="712" t="s">
        <v>594</v>
      </c>
      <c r="T20" s="668">
        <f>+'[1]Metas Producto F-PLA 47'!Q20</f>
        <v>89176000</v>
      </c>
      <c r="U20" s="684">
        <v>3</v>
      </c>
      <c r="V20" s="669" t="s">
        <v>583</v>
      </c>
      <c r="W20" s="3776"/>
      <c r="X20" s="3776"/>
      <c r="Y20" s="3776"/>
      <c r="Z20" s="3776"/>
      <c r="AA20" s="3776"/>
      <c r="AB20" s="3776"/>
      <c r="AC20" s="3776"/>
      <c r="AD20" s="3776"/>
      <c r="AE20" s="3776"/>
      <c r="AF20" s="3776"/>
      <c r="AG20" s="3776"/>
      <c r="AH20" s="3776"/>
      <c r="AI20" s="3776"/>
      <c r="AJ20" s="3776"/>
      <c r="AK20" s="3776"/>
      <c r="AL20" s="3776"/>
      <c r="AM20" s="3781"/>
      <c r="AN20" s="3781"/>
      <c r="AO20" s="3784"/>
    </row>
    <row r="21" spans="1:49" s="485" customFormat="1" ht="43.5" customHeight="1" x14ac:dyDescent="0.25">
      <c r="A21" s="700"/>
      <c r="B21" s="148"/>
      <c r="C21" s="315"/>
      <c r="D21" s="2858"/>
      <c r="E21" s="3378"/>
      <c r="F21" s="3378"/>
      <c r="G21" s="709" t="s">
        <v>595</v>
      </c>
      <c r="H21" s="709">
        <v>33.4</v>
      </c>
      <c r="I21" s="1699" t="s">
        <v>596</v>
      </c>
      <c r="J21" s="710" t="s">
        <v>597</v>
      </c>
      <c r="K21" s="1693">
        <v>25</v>
      </c>
      <c r="L21" s="3101"/>
      <c r="M21" s="3101"/>
      <c r="N21" s="3102"/>
      <c r="O21" s="665">
        <v>0.17801657506633911</v>
      </c>
      <c r="P21" s="711">
        <f>+T21</f>
        <v>100000000</v>
      </c>
      <c r="Q21" s="3102"/>
      <c r="R21" s="3102"/>
      <c r="S21" s="712" t="s">
        <v>598</v>
      </c>
      <c r="T21" s="668">
        <f>+'[1]Metas Producto F-PLA 47'!Q21</f>
        <v>100000000</v>
      </c>
      <c r="U21" s="713">
        <v>3</v>
      </c>
      <c r="V21" s="669" t="s">
        <v>583</v>
      </c>
      <c r="W21" s="3776"/>
      <c r="X21" s="3776"/>
      <c r="Y21" s="3776"/>
      <c r="Z21" s="3776"/>
      <c r="AA21" s="3776"/>
      <c r="AB21" s="3776"/>
      <c r="AC21" s="3776"/>
      <c r="AD21" s="3776"/>
      <c r="AE21" s="3776"/>
      <c r="AF21" s="3776"/>
      <c r="AG21" s="3776"/>
      <c r="AH21" s="3776"/>
      <c r="AI21" s="3776"/>
      <c r="AJ21" s="3776"/>
      <c r="AK21" s="3776"/>
      <c r="AL21" s="3776"/>
      <c r="AM21" s="3781"/>
      <c r="AN21" s="3781"/>
      <c r="AO21" s="3784"/>
    </row>
    <row r="22" spans="1:49" s="485" customFormat="1" ht="43.5" customHeight="1" x14ac:dyDescent="0.25">
      <c r="A22" s="700"/>
      <c r="B22" s="148"/>
      <c r="C22" s="315"/>
      <c r="D22" s="2858"/>
      <c r="E22" s="3378"/>
      <c r="F22" s="3378"/>
      <c r="G22" s="709" t="s">
        <v>599</v>
      </c>
      <c r="H22" s="709">
        <v>33.5</v>
      </c>
      <c r="I22" s="1699" t="s">
        <v>600</v>
      </c>
      <c r="J22" s="710" t="s">
        <v>601</v>
      </c>
      <c r="K22" s="1720">
        <v>75</v>
      </c>
      <c r="L22" s="3101"/>
      <c r="M22" s="3101"/>
      <c r="N22" s="3102"/>
      <c r="O22" s="665">
        <v>0.30720221381982404</v>
      </c>
      <c r="P22" s="711">
        <f>+T22</f>
        <v>170814443.5</v>
      </c>
      <c r="Q22" s="3102"/>
      <c r="R22" s="3102"/>
      <c r="S22" s="712" t="s">
        <v>598</v>
      </c>
      <c r="T22" s="668">
        <f>+'[1]Metas Producto F-PLA 47'!Q22</f>
        <v>170814443.5</v>
      </c>
      <c r="U22" s="713">
        <v>4</v>
      </c>
      <c r="V22" s="669" t="s">
        <v>576</v>
      </c>
      <c r="W22" s="3776"/>
      <c r="X22" s="3776"/>
      <c r="Y22" s="3776"/>
      <c r="Z22" s="3776"/>
      <c r="AA22" s="3776"/>
      <c r="AB22" s="3776"/>
      <c r="AC22" s="3776"/>
      <c r="AD22" s="3776"/>
      <c r="AE22" s="3776"/>
      <c r="AF22" s="3776"/>
      <c r="AG22" s="3776"/>
      <c r="AH22" s="3776"/>
      <c r="AI22" s="3776"/>
      <c r="AJ22" s="3776"/>
      <c r="AK22" s="3776"/>
      <c r="AL22" s="3776"/>
      <c r="AM22" s="3781"/>
      <c r="AN22" s="3781"/>
      <c r="AO22" s="3784"/>
    </row>
    <row r="23" spans="1:49" s="485" customFormat="1" ht="43.5" customHeight="1" x14ac:dyDescent="0.25">
      <c r="A23" s="593"/>
      <c r="B23" s="134"/>
      <c r="C23" s="135"/>
      <c r="D23" s="134"/>
      <c r="E23" s="134"/>
      <c r="F23" s="134"/>
      <c r="G23" s="709" t="s">
        <v>602</v>
      </c>
      <c r="H23" s="709">
        <v>33.6</v>
      </c>
      <c r="I23" s="710" t="s">
        <v>603</v>
      </c>
      <c r="J23" s="710" t="s">
        <v>604</v>
      </c>
      <c r="K23" s="1720">
        <v>3</v>
      </c>
      <c r="L23" s="3101"/>
      <c r="M23" s="3101"/>
      <c r="N23" s="3102"/>
      <c r="O23" s="665">
        <v>0.35603315013267822</v>
      </c>
      <c r="P23" s="711">
        <f>+T23</f>
        <v>50971986</v>
      </c>
      <c r="Q23" s="3102"/>
      <c r="R23" s="3102"/>
      <c r="S23" s="712" t="s">
        <v>605</v>
      </c>
      <c r="T23" s="668">
        <f>+'[1]Metas Producto F-PLA 47'!Q23</f>
        <v>50971986</v>
      </c>
      <c r="U23" s="714">
        <v>4</v>
      </c>
      <c r="V23" s="669" t="s">
        <v>576</v>
      </c>
      <c r="W23" s="3776"/>
      <c r="X23" s="3776"/>
      <c r="Y23" s="3776"/>
      <c r="Z23" s="3776"/>
      <c r="AA23" s="3776"/>
      <c r="AB23" s="3776"/>
      <c r="AC23" s="3776"/>
      <c r="AD23" s="3776"/>
      <c r="AE23" s="3776"/>
      <c r="AF23" s="3776"/>
      <c r="AG23" s="3776"/>
      <c r="AH23" s="3776"/>
      <c r="AI23" s="3776"/>
      <c r="AJ23" s="3776"/>
      <c r="AK23" s="3776"/>
      <c r="AL23" s="3776"/>
      <c r="AM23" s="3781"/>
      <c r="AN23" s="3781"/>
      <c r="AO23" s="3784"/>
    </row>
    <row r="24" spans="1:49" s="485" customFormat="1" ht="15.75" x14ac:dyDescent="0.25">
      <c r="A24" s="686">
        <v>4</v>
      </c>
      <c r="B24" s="715" t="s">
        <v>267</v>
      </c>
      <c r="C24" s="716"/>
      <c r="D24" s="717"/>
      <c r="E24" s="718"/>
      <c r="F24" s="718"/>
      <c r="G24" s="718"/>
      <c r="H24" s="718"/>
      <c r="I24" s="690"/>
      <c r="J24" s="690"/>
      <c r="K24" s="718"/>
      <c r="L24" s="718"/>
      <c r="M24" s="689"/>
      <c r="N24" s="690"/>
      <c r="O24" s="718"/>
      <c r="P24" s="719"/>
      <c r="Q24" s="690"/>
      <c r="R24" s="690"/>
      <c r="S24" s="690"/>
      <c r="T24" s="720"/>
      <c r="U24" s="721"/>
      <c r="V24" s="722"/>
      <c r="W24" s="3776"/>
      <c r="X24" s="3776"/>
      <c r="Y24" s="3776"/>
      <c r="Z24" s="3776"/>
      <c r="AA24" s="3776"/>
      <c r="AB24" s="3776"/>
      <c r="AC24" s="3776"/>
      <c r="AD24" s="3776"/>
      <c r="AE24" s="3776"/>
      <c r="AF24" s="3776"/>
      <c r="AG24" s="3776"/>
      <c r="AH24" s="3776"/>
      <c r="AI24" s="3776"/>
      <c r="AJ24" s="3776"/>
      <c r="AK24" s="3776"/>
      <c r="AL24" s="3776"/>
      <c r="AM24" s="3781"/>
      <c r="AN24" s="3781"/>
      <c r="AO24" s="3784"/>
    </row>
    <row r="25" spans="1:49" s="485" customFormat="1" ht="15.75" x14ac:dyDescent="0.25">
      <c r="A25" s="646"/>
      <c r="B25" s="647"/>
      <c r="C25" s="648"/>
      <c r="D25" s="649">
        <v>45</v>
      </c>
      <c r="E25" s="385" t="s">
        <v>74</v>
      </c>
      <c r="F25" s="385"/>
      <c r="G25" s="69"/>
      <c r="H25" s="69"/>
      <c r="I25" s="723"/>
      <c r="J25" s="724"/>
      <c r="K25" s="37"/>
      <c r="L25" s="37"/>
      <c r="M25" s="2002"/>
      <c r="N25" s="724"/>
      <c r="O25" s="37"/>
      <c r="P25" s="725"/>
      <c r="Q25" s="724"/>
      <c r="R25" s="724"/>
      <c r="S25" s="724"/>
      <c r="T25" s="726"/>
      <c r="U25" s="727"/>
      <c r="V25" s="728"/>
      <c r="W25" s="3776"/>
      <c r="X25" s="3776"/>
      <c r="Y25" s="3776"/>
      <c r="Z25" s="3776"/>
      <c r="AA25" s="3776"/>
      <c r="AB25" s="3776"/>
      <c r="AC25" s="3776"/>
      <c r="AD25" s="3776"/>
      <c r="AE25" s="3776"/>
      <c r="AF25" s="3776"/>
      <c r="AG25" s="3776"/>
      <c r="AH25" s="3776"/>
      <c r="AI25" s="3776"/>
      <c r="AJ25" s="3776"/>
      <c r="AK25" s="3776"/>
      <c r="AL25" s="3776"/>
      <c r="AM25" s="3781"/>
      <c r="AN25" s="3781"/>
      <c r="AO25" s="3784"/>
    </row>
    <row r="26" spans="1:49" s="485" customFormat="1" ht="117" customHeight="1" x14ac:dyDescent="0.25">
      <c r="A26" s="700"/>
      <c r="B26" s="148"/>
      <c r="C26" s="148"/>
      <c r="D26" s="309"/>
      <c r="E26" s="225"/>
      <c r="F26" s="310"/>
      <c r="G26" s="1723" t="s">
        <v>567</v>
      </c>
      <c r="H26" s="729">
        <v>45.1</v>
      </c>
      <c r="I26" s="1724" t="s">
        <v>606</v>
      </c>
      <c r="J26" s="730" t="s">
        <v>607</v>
      </c>
      <c r="K26" s="1720">
        <v>4</v>
      </c>
      <c r="L26" s="1682" t="s">
        <v>588</v>
      </c>
      <c r="M26" s="1682" t="s">
        <v>571</v>
      </c>
      <c r="N26" s="1694" t="s">
        <v>572</v>
      </c>
      <c r="O26" s="1705">
        <v>1</v>
      </c>
      <c r="P26" s="666">
        <f>+T26</f>
        <v>189176000</v>
      </c>
      <c r="Q26" s="1694" t="s">
        <v>573</v>
      </c>
      <c r="R26" s="1694" t="s">
        <v>574</v>
      </c>
      <c r="S26" s="731" t="s">
        <v>608</v>
      </c>
      <c r="T26" s="668">
        <f>+'[1]Metas Producto F-PLA 47'!Q24</f>
        <v>189176000</v>
      </c>
      <c r="U26" s="525">
        <v>3</v>
      </c>
      <c r="V26" s="669" t="s">
        <v>583</v>
      </c>
      <c r="W26" s="3776"/>
      <c r="X26" s="3776"/>
      <c r="Y26" s="3776"/>
      <c r="Z26" s="3776"/>
      <c r="AA26" s="3776"/>
      <c r="AB26" s="3776"/>
      <c r="AC26" s="3776"/>
      <c r="AD26" s="3776"/>
      <c r="AE26" s="3776"/>
      <c r="AF26" s="3776"/>
      <c r="AG26" s="3776"/>
      <c r="AH26" s="3776"/>
      <c r="AI26" s="3776"/>
      <c r="AJ26" s="3776"/>
      <c r="AK26" s="3776"/>
      <c r="AL26" s="3776"/>
      <c r="AM26" s="3782"/>
      <c r="AN26" s="3782"/>
      <c r="AO26" s="3785"/>
    </row>
    <row r="27" spans="1:49" ht="15.75" x14ac:dyDescent="0.25">
      <c r="A27" s="732"/>
      <c r="B27" s="733"/>
      <c r="C27" s="734"/>
      <c r="D27" s="733"/>
      <c r="E27" s="733"/>
      <c r="F27" s="734"/>
      <c r="G27" s="734"/>
      <c r="H27" s="735"/>
      <c r="I27" s="736"/>
      <c r="J27" s="737"/>
      <c r="K27" s="738"/>
      <c r="L27" s="738"/>
      <c r="M27" s="739"/>
      <c r="N27" s="739"/>
      <c r="O27" s="740"/>
      <c r="P27" s="741">
        <f>SUM(P12:P26)</f>
        <v>1709079089.5</v>
      </c>
      <c r="Q27" s="740"/>
      <c r="R27" s="740"/>
      <c r="S27" s="740"/>
      <c r="T27" s="742">
        <f>SUM(T12:T26)</f>
        <v>1709079089.5</v>
      </c>
      <c r="U27" s="743"/>
      <c r="V27" s="744"/>
      <c r="W27" s="735"/>
      <c r="X27" s="735"/>
      <c r="Y27" s="735"/>
      <c r="Z27" s="735"/>
      <c r="AA27" s="735"/>
      <c r="AB27" s="735"/>
      <c r="AC27" s="735"/>
      <c r="AD27" s="735"/>
      <c r="AE27" s="735"/>
      <c r="AF27" s="735"/>
      <c r="AG27" s="735"/>
      <c r="AH27" s="735"/>
      <c r="AI27" s="735"/>
      <c r="AJ27" s="735"/>
      <c r="AK27" s="735"/>
      <c r="AL27" s="735"/>
      <c r="AM27" s="745"/>
      <c r="AN27" s="746"/>
      <c r="AO27" s="747"/>
    </row>
    <row r="28" spans="1:49" ht="15.75" x14ac:dyDescent="0.25">
      <c r="A28" s="114"/>
      <c r="B28" s="4"/>
      <c r="C28" s="4"/>
      <c r="D28" s="4"/>
      <c r="E28" s="4"/>
      <c r="F28" s="4"/>
      <c r="G28" s="4"/>
      <c r="H28" s="4"/>
      <c r="I28" s="748"/>
      <c r="J28" s="749"/>
      <c r="K28" s="3"/>
      <c r="L28" s="3"/>
      <c r="M28" s="162"/>
      <c r="N28" s="162"/>
      <c r="O28" s="750"/>
      <c r="P28" s="750"/>
      <c r="Q28" s="750"/>
      <c r="R28" s="750"/>
      <c r="S28" s="750"/>
      <c r="T28" s="165"/>
      <c r="U28" s="751"/>
      <c r="V28" s="752"/>
      <c r="W28" s="4"/>
      <c r="X28" s="4"/>
      <c r="Y28" s="4"/>
      <c r="Z28" s="4"/>
      <c r="AA28" s="4"/>
      <c r="AB28" s="4"/>
      <c r="AC28" s="4"/>
      <c r="AD28" s="4"/>
      <c r="AE28" s="4"/>
      <c r="AF28" s="4"/>
      <c r="AG28" s="4"/>
      <c r="AH28" s="4"/>
      <c r="AI28" s="4"/>
      <c r="AJ28" s="4"/>
      <c r="AK28" s="4"/>
      <c r="AL28" s="4"/>
      <c r="AM28" s="753"/>
      <c r="AN28" s="172"/>
      <c r="AO28" s="173"/>
    </row>
    <row r="29" spans="1:49" ht="15.75" x14ac:dyDescent="0.25">
      <c r="A29" s="114"/>
      <c r="B29" s="4"/>
      <c r="C29" s="4"/>
      <c r="D29" s="4"/>
      <c r="E29" s="4"/>
      <c r="F29" s="4"/>
      <c r="G29" s="4"/>
      <c r="H29" s="4"/>
      <c r="I29" s="748"/>
      <c r="J29" s="749"/>
      <c r="K29" s="3"/>
      <c r="L29" s="3"/>
      <c r="M29" s="162"/>
      <c r="N29" s="162"/>
      <c r="O29" s="750"/>
      <c r="P29" s="750"/>
      <c r="Q29" s="750"/>
      <c r="R29" s="750"/>
      <c r="S29" s="750"/>
      <c r="T29" s="165"/>
      <c r="U29" s="751"/>
      <c r="V29" s="752"/>
      <c r="W29" s="754"/>
      <c r="X29" s="754"/>
      <c r="Y29" s="754"/>
      <c r="Z29" s="754"/>
      <c r="AA29" s="754"/>
      <c r="AB29" s="754"/>
      <c r="AC29" s="4"/>
      <c r="AD29" s="4"/>
      <c r="AE29" s="4"/>
      <c r="AF29" s="4"/>
      <c r="AG29" s="4"/>
      <c r="AH29" s="4"/>
      <c r="AI29" s="4"/>
      <c r="AJ29" s="4"/>
      <c r="AK29" s="4"/>
      <c r="AL29" s="4"/>
      <c r="AM29" s="753"/>
      <c r="AN29" s="172"/>
      <c r="AO29" s="173"/>
    </row>
    <row r="30" spans="1:49" ht="15.75" x14ac:dyDescent="0.25">
      <c r="A30" s="114"/>
      <c r="B30" s="4"/>
      <c r="C30" s="4"/>
      <c r="D30" s="4"/>
      <c r="E30" s="4"/>
      <c r="F30" s="4"/>
      <c r="G30" s="4"/>
      <c r="H30" s="4"/>
      <c r="I30" s="748"/>
      <c r="J30" s="749"/>
      <c r="K30" s="3"/>
      <c r="L30" s="3"/>
      <c r="M30" s="162"/>
      <c r="N30" s="162"/>
      <c r="O30" s="750"/>
      <c r="P30" s="750"/>
      <c r="Q30" s="750"/>
      <c r="R30" s="750"/>
      <c r="S30" s="750"/>
      <c r="T30" s="165"/>
      <c r="U30" s="751"/>
      <c r="V30" s="752"/>
      <c r="W30" s="4"/>
      <c r="X30" s="754"/>
      <c r="Y30" s="4"/>
      <c r="Z30" s="4"/>
      <c r="AA30" s="4"/>
      <c r="AB30" s="4"/>
      <c r="AC30" s="4"/>
      <c r="AD30" s="4"/>
      <c r="AE30" s="4"/>
      <c r="AF30" s="4"/>
      <c r="AG30" s="4"/>
      <c r="AH30" s="4"/>
      <c r="AI30" s="4"/>
      <c r="AJ30" s="4"/>
      <c r="AK30" s="4"/>
      <c r="AL30" s="4"/>
      <c r="AM30" s="753"/>
      <c r="AN30" s="172"/>
      <c r="AO30" s="173"/>
    </row>
    <row r="31" spans="1:49" ht="15.75" x14ac:dyDescent="0.25">
      <c r="A31" s="114"/>
      <c r="B31" s="4"/>
      <c r="C31" s="4"/>
      <c r="D31" s="4"/>
      <c r="E31" s="4"/>
      <c r="F31" s="4"/>
      <c r="G31" s="4"/>
      <c r="H31" s="4"/>
      <c r="I31" s="748"/>
      <c r="J31" s="749"/>
      <c r="K31" s="3"/>
      <c r="L31" s="3"/>
      <c r="M31" s="162"/>
      <c r="N31" s="162"/>
      <c r="O31" s="750"/>
      <c r="P31" s="750"/>
      <c r="Q31" s="750"/>
      <c r="R31" s="750"/>
      <c r="S31" s="750"/>
      <c r="T31" s="165"/>
      <c r="U31" s="751"/>
      <c r="V31" s="752"/>
      <c r="W31" s="3797"/>
      <c r="X31" s="3797"/>
      <c r="AB31" s="4"/>
      <c r="AC31" s="4"/>
      <c r="AD31" s="4"/>
      <c r="AE31" s="4"/>
      <c r="AF31" s="4"/>
      <c r="AG31" s="4"/>
      <c r="AH31" s="4"/>
      <c r="AI31" s="4"/>
      <c r="AJ31" s="4"/>
      <c r="AK31" s="4"/>
      <c r="AL31" s="4"/>
      <c r="AM31" s="753"/>
      <c r="AN31" s="172"/>
      <c r="AO31" s="173"/>
    </row>
    <row r="32" spans="1:49" x14ac:dyDescent="0.25">
      <c r="U32" s="755"/>
      <c r="V32" s="755"/>
      <c r="Y32" s="3797"/>
      <c r="Z32" s="3797"/>
    </row>
    <row r="33" spans="21:24" ht="15.75" x14ac:dyDescent="0.25">
      <c r="U33" s="3798"/>
      <c r="V33" s="3798"/>
      <c r="W33" s="457"/>
      <c r="X33" s="457"/>
    </row>
    <row r="34" spans="21:24" ht="18" x14ac:dyDescent="0.25">
      <c r="U34" s="3801"/>
      <c r="V34" s="3801"/>
    </row>
  </sheetData>
  <sheetProtection password="A60F" sheet="1" objects="1" scenarios="1"/>
  <mergeCells count="93">
    <mergeCell ref="U34:V34"/>
    <mergeCell ref="D21:D22"/>
    <mergeCell ref="E21:E22"/>
    <mergeCell ref="F21:F22"/>
    <mergeCell ref="W31:X31"/>
    <mergeCell ref="Y32:Z32"/>
    <mergeCell ref="U33:V33"/>
    <mergeCell ref="S14:S15"/>
    <mergeCell ref="L20:L23"/>
    <mergeCell ref="M20:M23"/>
    <mergeCell ref="N20:N23"/>
    <mergeCell ref="Q20:Q23"/>
    <mergeCell ref="R20:R23"/>
    <mergeCell ref="L14:L15"/>
    <mergeCell ref="M14:M15"/>
    <mergeCell ref="N14:N15"/>
    <mergeCell ref="O14:O15"/>
    <mergeCell ref="Q14:Q15"/>
    <mergeCell ref="R14:R15"/>
    <mergeCell ref="W12:W26"/>
    <mergeCell ref="X12:X26"/>
    <mergeCell ref="AN12:AN26"/>
    <mergeCell ref="AO12:AO26"/>
    <mergeCell ref="D14:D15"/>
    <mergeCell ref="E14:E15"/>
    <mergeCell ref="F14:F15"/>
    <mergeCell ref="G14:G15"/>
    <mergeCell ref="H14:H15"/>
    <mergeCell ref="I14:I15"/>
    <mergeCell ref="J14:J15"/>
    <mergeCell ref="K14:K15"/>
    <mergeCell ref="AH12:AH26"/>
    <mergeCell ref="AI12:AI26"/>
    <mergeCell ref="AJ12:AJ26"/>
    <mergeCell ref="AK12:AK26"/>
    <mergeCell ref="AL12:AL26"/>
    <mergeCell ref="AM12:AM26"/>
    <mergeCell ref="Y12:Y26"/>
    <mergeCell ref="Z12:Z26"/>
    <mergeCell ref="AA12:AA26"/>
    <mergeCell ref="AL7:AL9"/>
    <mergeCell ref="AM7:AM9"/>
    <mergeCell ref="AG12:AG26"/>
    <mergeCell ref="AG8:AG9"/>
    <mergeCell ref="AH8:AH9"/>
    <mergeCell ref="AI8:AI9"/>
    <mergeCell ref="AJ8:AJ9"/>
    <mergeCell ref="AB12:AB26"/>
    <mergeCell ref="AC12:AC26"/>
    <mergeCell ref="AD12:AD26"/>
    <mergeCell ref="AE12:AE26"/>
    <mergeCell ref="AF12:AF26"/>
    <mergeCell ref="AN7:AN9"/>
    <mergeCell ref="AO7:AO8"/>
    <mergeCell ref="W8:W9"/>
    <mergeCell ref="X8:X9"/>
    <mergeCell ref="Y8:Y9"/>
    <mergeCell ref="Z8:Z9"/>
    <mergeCell ref="AA8:AA9"/>
    <mergeCell ref="AB8:AB9"/>
    <mergeCell ref="AI7:AK7"/>
    <mergeCell ref="AK8:AK9"/>
    <mergeCell ref="AC7:AH7"/>
    <mergeCell ref="AC8:AC9"/>
    <mergeCell ref="AD8:AD9"/>
    <mergeCell ref="AE8:AE9"/>
    <mergeCell ref="AF8:AF9"/>
    <mergeCell ref="S7:S9"/>
    <mergeCell ref="U7:U9"/>
    <mergeCell ref="V7:V9"/>
    <mergeCell ref="W7:X7"/>
    <mergeCell ref="Y7:AB7"/>
    <mergeCell ref="N7:N9"/>
    <mergeCell ref="O7:O9"/>
    <mergeCell ref="P7:P9"/>
    <mergeCell ref="Q7:Q9"/>
    <mergeCell ref="R7:R9"/>
    <mergeCell ref="A1:AM4"/>
    <mergeCell ref="A5:K6"/>
    <mergeCell ref="L5:AO5"/>
    <mergeCell ref="W6:AK6"/>
    <mergeCell ref="A7:A9"/>
    <mergeCell ref="B7:C9"/>
    <mergeCell ref="D7:D9"/>
    <mergeCell ref="E7:F9"/>
    <mergeCell ref="G7:G9"/>
    <mergeCell ref="H7:H9"/>
    <mergeCell ref="T7:T9"/>
    <mergeCell ref="I7:I9"/>
    <mergeCell ref="J7:J9"/>
    <mergeCell ref="K7:K9"/>
    <mergeCell ref="L7:L9"/>
    <mergeCell ref="M7:M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22"/>
  <sheetViews>
    <sheetView showGridLines="0" zoomScale="60" zoomScaleNormal="60" workbookViewId="0">
      <selection activeCell="A10" sqref="A10:A11"/>
    </sheetView>
  </sheetViews>
  <sheetFormatPr baseColWidth="10" defaultRowHeight="15" x14ac:dyDescent="0.25"/>
  <cols>
    <col min="8" max="8" width="60.140625" customWidth="1"/>
    <col min="9" max="9" width="63.85546875" customWidth="1"/>
    <col min="10" max="10" width="20.85546875" customWidth="1"/>
    <col min="11" max="11" width="25.42578125" customWidth="1"/>
    <col min="12" max="12" width="28" customWidth="1"/>
    <col min="13" max="13" width="26" customWidth="1"/>
    <col min="14" max="14" width="19.140625" customWidth="1"/>
    <col min="15" max="15" width="30.28515625" customWidth="1"/>
    <col min="16" max="16" width="35.5703125" customWidth="1"/>
    <col min="17" max="17" width="30.7109375" customWidth="1"/>
    <col min="18" max="18" width="33.85546875" customWidth="1"/>
    <col min="19" max="19" width="29" customWidth="1"/>
    <col min="21" max="21" width="13.7109375" customWidth="1"/>
    <col min="38" max="38" width="19.140625" customWidth="1"/>
    <col min="39" max="39" width="25.7109375" customWidth="1"/>
    <col min="40" max="40" width="23.140625" customWidth="1"/>
  </cols>
  <sheetData>
    <row r="1" spans="1:40" x14ac:dyDescent="0.25">
      <c r="A1" s="2895" t="s">
        <v>609</v>
      </c>
      <c r="B1" s="2896"/>
      <c r="C1" s="2896"/>
      <c r="D1" s="2896"/>
      <c r="E1" s="2896"/>
      <c r="F1" s="2896"/>
      <c r="G1" s="2896"/>
      <c r="H1" s="2896"/>
      <c r="I1" s="2896"/>
      <c r="J1" s="2896"/>
      <c r="K1" s="2896"/>
      <c r="L1" s="2896"/>
      <c r="M1" s="2896"/>
      <c r="N1" s="2896"/>
      <c r="O1" s="2896"/>
      <c r="P1" s="2896"/>
      <c r="Q1" s="2896"/>
      <c r="R1" s="2896"/>
      <c r="S1" s="2896"/>
      <c r="T1" s="2896"/>
      <c r="U1" s="2896"/>
      <c r="V1" s="2896"/>
      <c r="W1" s="2896"/>
      <c r="X1" s="2896"/>
      <c r="Y1" s="2896"/>
      <c r="Z1" s="2896"/>
      <c r="AA1" s="2896"/>
      <c r="AB1" s="2896"/>
      <c r="AC1" s="2896"/>
      <c r="AD1" s="2896"/>
      <c r="AE1" s="2896"/>
      <c r="AF1" s="2896"/>
      <c r="AG1" s="2896"/>
      <c r="AH1" s="2896"/>
      <c r="AI1" s="2896"/>
      <c r="AJ1" s="2896"/>
      <c r="AK1" s="2896"/>
      <c r="AL1" s="2897"/>
      <c r="AM1" s="819" t="s">
        <v>1</v>
      </c>
      <c r="AN1" s="820" t="s">
        <v>2</v>
      </c>
    </row>
    <row r="2" spans="1:40" x14ac:dyDescent="0.25">
      <c r="A2" s="2896"/>
      <c r="B2" s="2896"/>
      <c r="C2" s="2896"/>
      <c r="D2" s="2896"/>
      <c r="E2" s="2896"/>
      <c r="F2" s="2896"/>
      <c r="G2" s="2896"/>
      <c r="H2" s="2896"/>
      <c r="I2" s="2896"/>
      <c r="J2" s="2896"/>
      <c r="K2" s="2896"/>
      <c r="L2" s="2896"/>
      <c r="M2" s="2896"/>
      <c r="N2" s="2896"/>
      <c r="O2" s="2896"/>
      <c r="P2" s="2896"/>
      <c r="Q2" s="2896"/>
      <c r="R2" s="2896"/>
      <c r="S2" s="2896"/>
      <c r="T2" s="2896"/>
      <c r="U2" s="2896"/>
      <c r="V2" s="2896"/>
      <c r="W2" s="2896"/>
      <c r="X2" s="2896"/>
      <c r="Y2" s="2896"/>
      <c r="Z2" s="2896"/>
      <c r="AA2" s="2896"/>
      <c r="AB2" s="2896"/>
      <c r="AC2" s="2896"/>
      <c r="AD2" s="2896"/>
      <c r="AE2" s="2896"/>
      <c r="AF2" s="2896"/>
      <c r="AG2" s="2896"/>
      <c r="AH2" s="2896"/>
      <c r="AI2" s="2896"/>
      <c r="AJ2" s="2896"/>
      <c r="AK2" s="2896"/>
      <c r="AL2" s="2897"/>
      <c r="AM2" s="821" t="s">
        <v>3</v>
      </c>
      <c r="AN2" s="820" t="s">
        <v>4</v>
      </c>
    </row>
    <row r="3" spans="1:40" x14ac:dyDescent="0.25">
      <c r="A3" s="2896"/>
      <c r="B3" s="2896"/>
      <c r="C3" s="2896"/>
      <c r="D3" s="2896"/>
      <c r="E3" s="2896"/>
      <c r="F3" s="2896"/>
      <c r="G3" s="2896"/>
      <c r="H3" s="2896"/>
      <c r="I3" s="2896"/>
      <c r="J3" s="2896"/>
      <c r="K3" s="2896"/>
      <c r="L3" s="2896"/>
      <c r="M3" s="2896"/>
      <c r="N3" s="2896"/>
      <c r="O3" s="2896"/>
      <c r="P3" s="2896"/>
      <c r="Q3" s="2896"/>
      <c r="R3" s="2896"/>
      <c r="S3" s="2896"/>
      <c r="T3" s="2896"/>
      <c r="U3" s="2896"/>
      <c r="V3" s="2896"/>
      <c r="W3" s="2896"/>
      <c r="X3" s="2896"/>
      <c r="Y3" s="2896"/>
      <c r="Z3" s="2896"/>
      <c r="AA3" s="2896"/>
      <c r="AB3" s="2896"/>
      <c r="AC3" s="2896"/>
      <c r="AD3" s="2896"/>
      <c r="AE3" s="2896"/>
      <c r="AF3" s="2896"/>
      <c r="AG3" s="2896"/>
      <c r="AH3" s="2896"/>
      <c r="AI3" s="2896"/>
      <c r="AJ3" s="2896"/>
      <c r="AK3" s="2896"/>
      <c r="AL3" s="2897"/>
      <c r="AM3" s="819" t="s">
        <v>5</v>
      </c>
      <c r="AN3" s="822" t="s">
        <v>6</v>
      </c>
    </row>
    <row r="4" spans="1:40" x14ac:dyDescent="0.25">
      <c r="A4" s="2898"/>
      <c r="B4" s="2898"/>
      <c r="C4" s="2898"/>
      <c r="D4" s="2898"/>
      <c r="E4" s="2898"/>
      <c r="F4" s="2898"/>
      <c r="G4" s="2898"/>
      <c r="H4" s="2898"/>
      <c r="I4" s="2898"/>
      <c r="J4" s="2898"/>
      <c r="K4" s="2898"/>
      <c r="L4" s="2898"/>
      <c r="M4" s="2898"/>
      <c r="N4" s="2898"/>
      <c r="O4" s="2898"/>
      <c r="P4" s="2898"/>
      <c r="Q4" s="2898"/>
      <c r="R4" s="2898"/>
      <c r="S4" s="2898"/>
      <c r="T4" s="2898"/>
      <c r="U4" s="2898"/>
      <c r="V4" s="2898"/>
      <c r="W4" s="2898"/>
      <c r="X4" s="2898"/>
      <c r="Y4" s="2898"/>
      <c r="Z4" s="2898"/>
      <c r="AA4" s="2898"/>
      <c r="AB4" s="2898"/>
      <c r="AC4" s="2898"/>
      <c r="AD4" s="2898"/>
      <c r="AE4" s="2898"/>
      <c r="AF4" s="2898"/>
      <c r="AG4" s="2898"/>
      <c r="AH4" s="2898"/>
      <c r="AI4" s="2898"/>
      <c r="AJ4" s="2898"/>
      <c r="AK4" s="2898"/>
      <c r="AL4" s="2899"/>
      <c r="AM4" s="819" t="s">
        <v>7</v>
      </c>
      <c r="AN4" s="823" t="s">
        <v>8</v>
      </c>
    </row>
    <row r="5" spans="1:40" ht="15.75" x14ac:dyDescent="0.25">
      <c r="A5" s="2235" t="s">
        <v>9</v>
      </c>
      <c r="B5" s="2235"/>
      <c r="C5" s="2235"/>
      <c r="D5" s="2235"/>
      <c r="E5" s="2235"/>
      <c r="F5" s="2235"/>
      <c r="G5" s="2235"/>
      <c r="H5" s="2235"/>
      <c r="I5" s="2235"/>
      <c r="J5" s="2235"/>
      <c r="K5" s="2236" t="s">
        <v>10</v>
      </c>
      <c r="L5" s="2236"/>
      <c r="M5" s="2236"/>
      <c r="N5" s="2236"/>
      <c r="O5" s="2236"/>
      <c r="P5" s="2236"/>
      <c r="Q5" s="2236"/>
      <c r="R5" s="2236"/>
      <c r="S5" s="2236"/>
      <c r="T5" s="2236"/>
      <c r="U5" s="2236"/>
      <c r="V5" s="2236"/>
      <c r="W5" s="2236"/>
      <c r="X5" s="2236"/>
      <c r="Y5" s="2236"/>
      <c r="Z5" s="2236"/>
      <c r="AA5" s="2236"/>
      <c r="AB5" s="2236"/>
      <c r="AC5" s="2236"/>
      <c r="AD5" s="2236"/>
      <c r="AE5" s="2236"/>
      <c r="AF5" s="2236"/>
      <c r="AG5" s="2236"/>
      <c r="AH5" s="2236"/>
      <c r="AI5" s="2236"/>
      <c r="AJ5" s="2236"/>
      <c r="AK5" s="2236"/>
      <c r="AL5" s="2236"/>
      <c r="AM5" s="2236"/>
      <c r="AN5" s="2236"/>
    </row>
    <row r="6" spans="1:40" ht="31.5" customHeight="1" x14ac:dyDescent="0.25">
      <c r="A6" s="2233"/>
      <c r="B6" s="2233"/>
      <c r="C6" s="2233"/>
      <c r="D6" s="2233"/>
      <c r="E6" s="3086"/>
      <c r="F6" s="3086"/>
      <c r="G6" s="3086"/>
      <c r="H6" s="2233"/>
      <c r="I6" s="2233"/>
      <c r="J6" s="2233"/>
      <c r="K6" s="184"/>
      <c r="L6" s="824"/>
      <c r="M6" s="824"/>
      <c r="N6" s="825"/>
      <c r="O6" s="8"/>
      <c r="P6" s="8"/>
      <c r="Q6" s="8"/>
      <c r="R6" s="824"/>
      <c r="S6" s="8"/>
      <c r="T6" s="8"/>
      <c r="U6" s="826"/>
      <c r="V6" s="2237" t="s">
        <v>11</v>
      </c>
      <c r="W6" s="2233"/>
      <c r="X6" s="2233"/>
      <c r="Y6" s="2233"/>
      <c r="Z6" s="2233"/>
      <c r="AA6" s="2233"/>
      <c r="AB6" s="2233"/>
      <c r="AC6" s="2233"/>
      <c r="AD6" s="2233"/>
      <c r="AE6" s="2233"/>
      <c r="AF6" s="2233"/>
      <c r="AG6" s="2233"/>
      <c r="AH6" s="2233"/>
      <c r="AI6" s="2233"/>
      <c r="AJ6" s="2234"/>
      <c r="AK6" s="632"/>
      <c r="AL6" s="8"/>
      <c r="AM6" s="8"/>
      <c r="AN6" s="827"/>
    </row>
    <row r="7" spans="1:40" ht="15.75" x14ac:dyDescent="0.25">
      <c r="A7" s="3826" t="s">
        <v>12</v>
      </c>
      <c r="B7" s="3818" t="s">
        <v>13</v>
      </c>
      <c r="C7" s="3828"/>
      <c r="D7" s="3830" t="s">
        <v>12</v>
      </c>
      <c r="E7" s="3832" t="s">
        <v>14</v>
      </c>
      <c r="F7" s="3832"/>
      <c r="G7" s="3832" t="s">
        <v>12</v>
      </c>
      <c r="H7" s="3830" t="s">
        <v>15</v>
      </c>
      <c r="I7" s="3822" t="s">
        <v>16</v>
      </c>
      <c r="J7" s="3822" t="s">
        <v>17</v>
      </c>
      <c r="K7" s="3822" t="s">
        <v>18</v>
      </c>
      <c r="L7" s="3822" t="s">
        <v>19</v>
      </c>
      <c r="M7" s="3822" t="s">
        <v>10</v>
      </c>
      <c r="N7" s="3824" t="s">
        <v>20</v>
      </c>
      <c r="O7" s="3816" t="s">
        <v>21</v>
      </c>
      <c r="P7" s="3818" t="s">
        <v>22</v>
      </c>
      <c r="Q7" s="3818" t="s">
        <v>23</v>
      </c>
      <c r="R7" s="3818" t="s">
        <v>24</v>
      </c>
      <c r="S7" s="3820" t="s">
        <v>21</v>
      </c>
      <c r="T7" s="828"/>
      <c r="U7" s="3822" t="s">
        <v>25</v>
      </c>
      <c r="V7" s="2249" t="s">
        <v>26</v>
      </c>
      <c r="W7" s="2249"/>
      <c r="X7" s="2241" t="s">
        <v>27</v>
      </c>
      <c r="Y7" s="2241"/>
      <c r="Z7" s="2241"/>
      <c r="AA7" s="2241"/>
      <c r="AB7" s="2242" t="s">
        <v>28</v>
      </c>
      <c r="AC7" s="2243"/>
      <c r="AD7" s="2243"/>
      <c r="AE7" s="2243"/>
      <c r="AF7" s="2243"/>
      <c r="AG7" s="2244"/>
      <c r="AH7" s="2241" t="s">
        <v>29</v>
      </c>
      <c r="AI7" s="2241"/>
      <c r="AJ7" s="2241"/>
      <c r="AK7" s="2245" t="s">
        <v>30</v>
      </c>
      <c r="AL7" s="3806" t="s">
        <v>31</v>
      </c>
      <c r="AM7" s="3806" t="s">
        <v>32</v>
      </c>
      <c r="AN7" s="3808" t="s">
        <v>33</v>
      </c>
    </row>
    <row r="8" spans="1:40" ht="122.25" x14ac:dyDescent="0.25">
      <c r="A8" s="3827"/>
      <c r="B8" s="3819"/>
      <c r="C8" s="3829"/>
      <c r="D8" s="3831"/>
      <c r="E8" s="3832"/>
      <c r="F8" s="3832"/>
      <c r="G8" s="3832"/>
      <c r="H8" s="3831"/>
      <c r="I8" s="3823"/>
      <c r="J8" s="3823"/>
      <c r="K8" s="3823"/>
      <c r="L8" s="3823"/>
      <c r="M8" s="3823"/>
      <c r="N8" s="3825"/>
      <c r="O8" s="3817"/>
      <c r="P8" s="3819"/>
      <c r="Q8" s="3819"/>
      <c r="R8" s="3819"/>
      <c r="S8" s="3821"/>
      <c r="T8" s="829" t="s">
        <v>12</v>
      </c>
      <c r="U8" s="3823"/>
      <c r="V8" s="830" t="s">
        <v>35</v>
      </c>
      <c r="W8" s="831" t="s">
        <v>36</v>
      </c>
      <c r="X8" s="832" t="s">
        <v>37</v>
      </c>
      <c r="Y8" s="832" t="s">
        <v>38</v>
      </c>
      <c r="Z8" s="832" t="s">
        <v>39</v>
      </c>
      <c r="AA8" s="832" t="s">
        <v>40</v>
      </c>
      <c r="AB8" s="832" t="s">
        <v>41</v>
      </c>
      <c r="AC8" s="832" t="s">
        <v>42</v>
      </c>
      <c r="AD8" s="832" t="s">
        <v>43</v>
      </c>
      <c r="AE8" s="832" t="s">
        <v>44</v>
      </c>
      <c r="AF8" s="832" t="s">
        <v>45</v>
      </c>
      <c r="AG8" s="832" t="s">
        <v>46</v>
      </c>
      <c r="AH8" s="832" t="s">
        <v>47</v>
      </c>
      <c r="AI8" s="832" t="s">
        <v>48</v>
      </c>
      <c r="AJ8" s="832" t="s">
        <v>49</v>
      </c>
      <c r="AK8" s="2246"/>
      <c r="AL8" s="3807"/>
      <c r="AM8" s="3807"/>
      <c r="AN8" s="3809"/>
    </row>
    <row r="9" spans="1:40" ht="15.75" x14ac:dyDescent="0.25">
      <c r="A9" s="639">
        <v>3</v>
      </c>
      <c r="B9" s="191" t="s">
        <v>584</v>
      </c>
      <c r="C9" s="640"/>
      <c r="D9" s="193"/>
      <c r="E9" s="833"/>
      <c r="F9" s="833"/>
      <c r="G9" s="833"/>
      <c r="H9" s="642"/>
      <c r="I9" s="643"/>
      <c r="J9" s="641"/>
      <c r="K9" s="641"/>
      <c r="L9" s="643"/>
      <c r="M9" s="643"/>
      <c r="N9" s="645"/>
      <c r="O9" s="641"/>
      <c r="P9" s="641"/>
      <c r="Q9" s="641"/>
      <c r="R9" s="643"/>
      <c r="S9" s="641"/>
      <c r="T9" s="641"/>
      <c r="U9" s="643"/>
      <c r="V9" s="641"/>
      <c r="W9" s="641"/>
      <c r="X9" s="641"/>
      <c r="Y9" s="641"/>
      <c r="Z9" s="641"/>
      <c r="AA9" s="641"/>
      <c r="AB9" s="641"/>
      <c r="AC9" s="641"/>
      <c r="AD9" s="641"/>
      <c r="AE9" s="641"/>
      <c r="AF9" s="641"/>
      <c r="AG9" s="641"/>
      <c r="AH9" s="641"/>
      <c r="AI9" s="641"/>
      <c r="AJ9" s="641"/>
      <c r="AK9" s="641"/>
      <c r="AL9" s="641"/>
      <c r="AM9" s="641"/>
      <c r="AN9" s="834"/>
    </row>
    <row r="10" spans="1:40" ht="15.75" x14ac:dyDescent="0.25">
      <c r="A10" s="2476"/>
      <c r="B10" s="3152"/>
      <c r="C10" s="2959"/>
      <c r="D10" s="649">
        <v>2409</v>
      </c>
      <c r="E10" s="207" t="s">
        <v>610</v>
      </c>
      <c r="F10" s="208"/>
      <c r="G10" s="835"/>
      <c r="H10" s="650"/>
      <c r="I10" s="651"/>
      <c r="J10" s="836"/>
      <c r="K10" s="210"/>
      <c r="L10" s="209"/>
      <c r="M10" s="837"/>
      <c r="N10" s="654"/>
      <c r="O10" s="655"/>
      <c r="P10" s="656"/>
      <c r="Q10" s="656"/>
      <c r="R10" s="210"/>
      <c r="S10" s="838"/>
      <c r="T10" s="656"/>
      <c r="U10" s="657"/>
      <c r="V10" s="656"/>
      <c r="W10" s="656"/>
      <c r="X10" s="656"/>
      <c r="Y10" s="656"/>
      <c r="Z10" s="656"/>
      <c r="AA10" s="656"/>
      <c r="AB10" s="656"/>
      <c r="AC10" s="656"/>
      <c r="AD10" s="656"/>
      <c r="AE10" s="656"/>
      <c r="AF10" s="656"/>
      <c r="AG10" s="656"/>
      <c r="AH10" s="656"/>
      <c r="AI10" s="656"/>
      <c r="AJ10" s="656"/>
      <c r="AK10" s="656"/>
      <c r="AL10" s="656"/>
      <c r="AM10" s="656"/>
      <c r="AN10" s="839"/>
    </row>
    <row r="11" spans="1:40" ht="66" customHeight="1" x14ac:dyDescent="0.25">
      <c r="A11" s="2477"/>
      <c r="B11" s="3153"/>
      <c r="C11" s="3153"/>
      <c r="D11" s="840"/>
      <c r="E11" s="3810"/>
      <c r="F11" s="3810"/>
      <c r="G11" s="3811" t="s">
        <v>611</v>
      </c>
      <c r="H11" s="3813" t="s">
        <v>612</v>
      </c>
      <c r="I11" s="3076" t="s">
        <v>613</v>
      </c>
      <c r="J11" s="3018">
        <v>1</v>
      </c>
      <c r="K11" s="2389" t="s">
        <v>614</v>
      </c>
      <c r="L11" s="2601" t="s">
        <v>615</v>
      </c>
      <c r="M11" s="2397" t="s">
        <v>616</v>
      </c>
      <c r="N11" s="2996">
        <v>0.24672897196261701</v>
      </c>
      <c r="O11" s="3805">
        <v>107000000</v>
      </c>
      <c r="P11" s="2268" t="s">
        <v>617</v>
      </c>
      <c r="Q11" s="2268" t="s">
        <v>618</v>
      </c>
      <c r="R11" s="843" t="s">
        <v>619</v>
      </c>
      <c r="S11" s="668">
        <v>23052000</v>
      </c>
      <c r="T11" s="3802" t="s">
        <v>620</v>
      </c>
      <c r="U11" s="2268" t="s">
        <v>621</v>
      </c>
      <c r="V11" s="2366">
        <v>57163</v>
      </c>
      <c r="W11" s="2366">
        <v>57815</v>
      </c>
      <c r="X11" s="2366">
        <v>27805</v>
      </c>
      <c r="Y11" s="2366">
        <v>8790</v>
      </c>
      <c r="Z11" s="2366">
        <v>60583</v>
      </c>
      <c r="AA11" s="2366">
        <v>17800</v>
      </c>
      <c r="AB11" s="2366">
        <v>283</v>
      </c>
      <c r="AC11" s="2366">
        <v>1495</v>
      </c>
      <c r="AD11" s="2366">
        <v>8</v>
      </c>
      <c r="AE11" s="2366">
        <v>0</v>
      </c>
      <c r="AF11" s="2366">
        <v>0</v>
      </c>
      <c r="AG11" s="2366">
        <v>0</v>
      </c>
      <c r="AH11" s="2366">
        <v>44350</v>
      </c>
      <c r="AI11" s="2366">
        <v>6251</v>
      </c>
      <c r="AJ11" s="2366">
        <v>75687</v>
      </c>
      <c r="AK11" s="2366">
        <v>114978</v>
      </c>
      <c r="AL11" s="2972">
        <v>43832</v>
      </c>
      <c r="AM11" s="2972">
        <v>44195</v>
      </c>
      <c r="AN11" s="2182" t="s">
        <v>622</v>
      </c>
    </row>
    <row r="12" spans="1:40" ht="66" customHeight="1" x14ac:dyDescent="0.25">
      <c r="A12" s="844"/>
      <c r="B12" s="634"/>
      <c r="C12" s="634"/>
      <c r="D12" s="845"/>
      <c r="E12" s="2860"/>
      <c r="F12" s="2860"/>
      <c r="G12" s="3812"/>
      <c r="H12" s="3814"/>
      <c r="I12" s="3077"/>
      <c r="J12" s="3018"/>
      <c r="K12" s="2341"/>
      <c r="L12" s="2602"/>
      <c r="M12" s="2398"/>
      <c r="N12" s="2997"/>
      <c r="O12" s="3692"/>
      <c r="P12" s="2269"/>
      <c r="Q12" s="2269"/>
      <c r="R12" s="846" t="s">
        <v>623</v>
      </c>
      <c r="S12" s="847">
        <v>3348000</v>
      </c>
      <c r="T12" s="3803"/>
      <c r="U12" s="2269"/>
      <c r="V12" s="2366"/>
      <c r="W12" s="2366"/>
      <c r="X12" s="2366"/>
      <c r="Y12" s="2366"/>
      <c r="Z12" s="2366"/>
      <c r="AA12" s="2366"/>
      <c r="AB12" s="2366"/>
      <c r="AC12" s="2366"/>
      <c r="AD12" s="2366"/>
      <c r="AE12" s="2366"/>
      <c r="AF12" s="2366"/>
      <c r="AG12" s="2366"/>
      <c r="AH12" s="2366"/>
      <c r="AI12" s="2366"/>
      <c r="AJ12" s="2366"/>
      <c r="AK12" s="2366"/>
      <c r="AL12" s="2973"/>
      <c r="AM12" s="2973"/>
      <c r="AN12" s="2183"/>
    </row>
    <row r="13" spans="1:40" ht="66" customHeight="1" x14ac:dyDescent="0.25">
      <c r="A13" s="246"/>
      <c r="B13" s="117"/>
      <c r="C13" s="117"/>
      <c r="D13" s="845"/>
      <c r="E13" s="2860"/>
      <c r="F13" s="2860"/>
      <c r="G13" s="848" t="s">
        <v>624</v>
      </c>
      <c r="H13" s="849" t="s">
        <v>625</v>
      </c>
      <c r="I13" s="850" t="s">
        <v>626</v>
      </c>
      <c r="J13" s="633">
        <v>1</v>
      </c>
      <c r="K13" s="2341"/>
      <c r="L13" s="2602"/>
      <c r="M13" s="2398" t="s">
        <v>627</v>
      </c>
      <c r="N13" s="530">
        <v>7.8504672897196259E-2</v>
      </c>
      <c r="O13" s="3692"/>
      <c r="P13" s="2269"/>
      <c r="Q13" s="2269"/>
      <c r="R13" s="851" t="s">
        <v>628</v>
      </c>
      <c r="S13" s="847">
        <v>8400000</v>
      </c>
      <c r="T13" s="3803"/>
      <c r="U13" s="2269"/>
      <c r="V13" s="2366"/>
      <c r="W13" s="2366"/>
      <c r="X13" s="2366"/>
      <c r="Y13" s="2366"/>
      <c r="Z13" s="2366"/>
      <c r="AA13" s="2366"/>
      <c r="AB13" s="2366"/>
      <c r="AC13" s="2366"/>
      <c r="AD13" s="2366"/>
      <c r="AE13" s="2366"/>
      <c r="AF13" s="2366"/>
      <c r="AG13" s="2366"/>
      <c r="AH13" s="2366"/>
      <c r="AI13" s="2366"/>
      <c r="AJ13" s="2366"/>
      <c r="AK13" s="2366"/>
      <c r="AL13" s="2197"/>
      <c r="AM13" s="2197"/>
      <c r="AN13" s="2183"/>
    </row>
    <row r="14" spans="1:40" ht="66" customHeight="1" x14ac:dyDescent="0.25">
      <c r="A14" s="246"/>
      <c r="B14" s="117"/>
      <c r="C14" s="117"/>
      <c r="D14" s="845"/>
      <c r="E14" s="2860"/>
      <c r="F14" s="2860"/>
      <c r="G14" s="848" t="s">
        <v>629</v>
      </c>
      <c r="H14" s="849" t="s">
        <v>630</v>
      </c>
      <c r="I14" s="850" t="s">
        <v>631</v>
      </c>
      <c r="J14" s="633">
        <v>1</v>
      </c>
      <c r="K14" s="2341"/>
      <c r="L14" s="2602"/>
      <c r="M14" s="2398"/>
      <c r="N14" s="530">
        <v>0.23551401869158878</v>
      </c>
      <c r="O14" s="3692"/>
      <c r="P14" s="2269"/>
      <c r="Q14" s="2269"/>
      <c r="R14" s="851" t="s">
        <v>632</v>
      </c>
      <c r="S14" s="852">
        <v>25200000</v>
      </c>
      <c r="T14" s="3803"/>
      <c r="U14" s="2269"/>
      <c r="V14" s="2366"/>
      <c r="W14" s="2366"/>
      <c r="X14" s="2366"/>
      <c r="Y14" s="2366"/>
      <c r="Z14" s="2366"/>
      <c r="AA14" s="2366"/>
      <c r="AB14" s="2366"/>
      <c r="AC14" s="2366"/>
      <c r="AD14" s="2366"/>
      <c r="AE14" s="2366"/>
      <c r="AF14" s="2366"/>
      <c r="AG14" s="2366"/>
      <c r="AH14" s="2366"/>
      <c r="AI14" s="2366"/>
      <c r="AJ14" s="2366"/>
      <c r="AK14" s="2366"/>
      <c r="AL14" s="2197"/>
      <c r="AM14" s="2197"/>
      <c r="AN14" s="2183"/>
    </row>
    <row r="15" spans="1:40" ht="66" customHeight="1" x14ac:dyDescent="0.25">
      <c r="A15" s="246"/>
      <c r="B15" s="117"/>
      <c r="C15" s="117"/>
      <c r="D15" s="845"/>
      <c r="E15" s="2860"/>
      <c r="F15" s="2860"/>
      <c r="G15" s="853" t="s">
        <v>633</v>
      </c>
      <c r="H15" s="849" t="s">
        <v>634</v>
      </c>
      <c r="I15" s="850" t="s">
        <v>635</v>
      </c>
      <c r="J15" s="633">
        <v>1</v>
      </c>
      <c r="K15" s="3815"/>
      <c r="L15" s="2603"/>
      <c r="M15" s="2819"/>
      <c r="N15" s="530">
        <v>0.43925233644859812</v>
      </c>
      <c r="O15" s="3691"/>
      <c r="P15" s="2270"/>
      <c r="Q15" s="2270"/>
      <c r="R15" s="851" t="s">
        <v>636</v>
      </c>
      <c r="S15" s="852">
        <v>47000000</v>
      </c>
      <c r="T15" s="3804"/>
      <c r="U15" s="2270"/>
      <c r="V15" s="2366"/>
      <c r="W15" s="2366"/>
      <c r="X15" s="2366"/>
      <c r="Y15" s="2366"/>
      <c r="Z15" s="2366"/>
      <c r="AA15" s="2366"/>
      <c r="AB15" s="2366"/>
      <c r="AC15" s="2366"/>
      <c r="AD15" s="2366"/>
      <c r="AE15" s="2366"/>
      <c r="AF15" s="2366"/>
      <c r="AG15" s="2366"/>
      <c r="AH15" s="2366"/>
      <c r="AI15" s="2366"/>
      <c r="AJ15" s="2366"/>
      <c r="AK15" s="2366"/>
      <c r="AL15" s="2811"/>
      <c r="AM15" s="2811"/>
      <c r="AN15" s="2492"/>
    </row>
    <row r="16" spans="1:40" ht="15.75" x14ac:dyDescent="0.25">
      <c r="A16" s="323"/>
      <c r="B16" s="247"/>
      <c r="C16" s="247"/>
      <c r="D16" s="855"/>
      <c r="E16" s="273"/>
      <c r="F16" s="273"/>
      <c r="G16" s="856"/>
      <c r="H16" s="857"/>
      <c r="I16" s="858"/>
      <c r="J16" s="431"/>
      <c r="K16" s="431"/>
      <c r="L16" s="858"/>
      <c r="M16" s="330"/>
      <c r="N16" s="502"/>
      <c r="O16" s="859">
        <v>107000000</v>
      </c>
      <c r="P16" s="330"/>
      <c r="Q16" s="330"/>
      <c r="R16" s="330"/>
      <c r="S16" s="859">
        <v>107000000</v>
      </c>
      <c r="T16" s="535"/>
      <c r="U16" s="330"/>
      <c r="V16" s="299"/>
      <c r="W16" s="299"/>
      <c r="X16" s="299"/>
      <c r="Y16" s="299"/>
      <c r="Z16" s="299"/>
      <c r="AA16" s="299"/>
      <c r="AB16" s="299"/>
      <c r="AC16" s="299"/>
      <c r="AD16" s="299"/>
      <c r="AE16" s="299"/>
      <c r="AF16" s="299"/>
      <c r="AG16" s="299"/>
      <c r="AH16" s="299"/>
      <c r="AI16" s="299"/>
      <c r="AJ16" s="299"/>
      <c r="AK16" s="299"/>
      <c r="AL16" s="860"/>
      <c r="AM16" s="338"/>
      <c r="AN16" s="333"/>
    </row>
    <row r="17" spans="1:40" ht="15.75" x14ac:dyDescent="0.25">
      <c r="A17" s="861"/>
      <c r="B17" s="117"/>
      <c r="C17" s="117"/>
      <c r="D17" s="117"/>
      <c r="E17" s="117"/>
      <c r="F17" s="117"/>
      <c r="G17" s="117"/>
      <c r="H17" s="862"/>
      <c r="I17" s="863"/>
      <c r="J17" s="484"/>
      <c r="K17" s="484"/>
      <c r="L17" s="863"/>
      <c r="M17" s="864"/>
      <c r="N17" s="865"/>
      <c r="O17" s="866"/>
      <c r="P17" s="864"/>
      <c r="Q17" s="864"/>
      <c r="R17" s="864"/>
      <c r="S17" s="866"/>
      <c r="T17" s="867"/>
      <c r="U17" s="864"/>
      <c r="V17" s="117"/>
      <c r="W17" s="117"/>
      <c r="X17" s="117"/>
      <c r="Y17" s="117"/>
      <c r="Z17" s="117"/>
      <c r="AA17" s="117"/>
      <c r="AB17" s="117"/>
      <c r="AC17" s="117"/>
      <c r="AD17" s="117"/>
      <c r="AE17" s="117"/>
      <c r="AF17" s="117"/>
      <c r="AG17" s="117"/>
      <c r="AH17" s="117"/>
      <c r="AI17" s="117"/>
      <c r="AJ17" s="117"/>
      <c r="AK17" s="117"/>
      <c r="AL17" s="868"/>
      <c r="AM17" s="869"/>
      <c r="AN17" s="870"/>
    </row>
    <row r="18" spans="1:40" ht="15.75" x14ac:dyDescent="0.25">
      <c r="A18" s="114"/>
      <c r="B18" s="4"/>
      <c r="C18" s="4"/>
      <c r="D18" s="4"/>
      <c r="E18" s="4"/>
      <c r="F18" s="4"/>
      <c r="G18" s="4"/>
      <c r="H18" s="748"/>
      <c r="I18" s="749"/>
      <c r="J18" s="3"/>
      <c r="K18" s="3"/>
      <c r="L18" s="749"/>
      <c r="M18" s="161"/>
      <c r="N18" s="750"/>
      <c r="O18" s="165"/>
      <c r="P18" s="161"/>
      <c r="Q18" s="161"/>
      <c r="R18" s="752"/>
      <c r="S18" s="871"/>
      <c r="T18" s="168"/>
      <c r="U18" s="161"/>
      <c r="V18" s="4"/>
      <c r="W18" s="4"/>
      <c r="X18" s="4"/>
      <c r="Y18" s="4"/>
      <c r="Z18" s="4"/>
      <c r="AA18" s="4"/>
      <c r="AB18" s="4"/>
      <c r="AC18" s="4"/>
      <c r="AD18" s="4"/>
      <c r="AE18" s="4"/>
      <c r="AF18" s="4"/>
      <c r="AG18" s="4"/>
      <c r="AH18" s="4"/>
      <c r="AI18" s="4"/>
      <c r="AJ18" s="4"/>
      <c r="AK18" s="4"/>
      <c r="AL18" s="872"/>
      <c r="AM18" s="172"/>
      <c r="AN18" s="173"/>
    </row>
    <row r="19" spans="1:40" ht="15.75" x14ac:dyDescent="0.25">
      <c r="B19" s="247"/>
      <c r="C19" s="247"/>
      <c r="D19" s="247"/>
      <c r="E19" s="247"/>
      <c r="F19" s="247"/>
      <c r="G19" s="247"/>
      <c r="H19" s="873"/>
      <c r="I19" s="749"/>
      <c r="U19" s="442"/>
    </row>
    <row r="20" spans="1:40" ht="20.25" x14ac:dyDescent="0.3">
      <c r="B20" s="861"/>
      <c r="C20" s="874"/>
      <c r="D20" s="874" t="s">
        <v>637</v>
      </c>
      <c r="E20" s="874"/>
      <c r="F20" s="874"/>
      <c r="G20" s="874"/>
      <c r="H20" s="875"/>
      <c r="I20" s="876"/>
      <c r="J20" s="877"/>
    </row>
    <row r="21" spans="1:40" ht="18" x14ac:dyDescent="0.25">
      <c r="B21" s="4"/>
      <c r="C21" s="878"/>
      <c r="D21" s="878"/>
      <c r="E21" s="876" t="s">
        <v>638</v>
      </c>
      <c r="F21" s="876"/>
      <c r="G21" s="876"/>
      <c r="H21" s="876"/>
      <c r="I21" s="170"/>
      <c r="J21" s="879"/>
    </row>
    <row r="22" spans="1:40" x14ac:dyDescent="0.25">
      <c r="C22" s="880"/>
      <c r="D22" s="880"/>
      <c r="E22" s="881"/>
      <c r="F22" s="881"/>
      <c r="G22" s="881"/>
      <c r="H22" s="881"/>
      <c r="I22" s="360"/>
    </row>
  </sheetData>
  <sheetProtection password="A60F" sheet="1" objects="1" scenarios="1"/>
  <mergeCells count="65">
    <mergeCell ref="N7:N8"/>
    <mergeCell ref="A1:AL4"/>
    <mergeCell ref="A5:J6"/>
    <mergeCell ref="K5:AN5"/>
    <mergeCell ref="V6:AJ6"/>
    <mergeCell ref="A7:A8"/>
    <mergeCell ref="B7:C8"/>
    <mergeCell ref="D7:D8"/>
    <mergeCell ref="E7:F8"/>
    <mergeCell ref="G7:G8"/>
    <mergeCell ref="H7:H8"/>
    <mergeCell ref="I7:I8"/>
    <mergeCell ref="J7:J8"/>
    <mergeCell ref="K7:K8"/>
    <mergeCell ref="L7:L8"/>
    <mergeCell ref="M7:M8"/>
    <mergeCell ref="AL7:AL8"/>
    <mergeCell ref="O7:O8"/>
    <mergeCell ref="P7:P8"/>
    <mergeCell ref="Q7:Q8"/>
    <mergeCell ref="R7:R8"/>
    <mergeCell ref="S7:S8"/>
    <mergeCell ref="U7:U8"/>
    <mergeCell ref="Q11:Q15"/>
    <mergeCell ref="AM7:AM8"/>
    <mergeCell ref="AN7:AN8"/>
    <mergeCell ref="A10:A11"/>
    <mergeCell ref="B10:C11"/>
    <mergeCell ref="E11:F15"/>
    <mergeCell ref="G11:G12"/>
    <mergeCell ref="H11:H12"/>
    <mergeCell ref="I11:I12"/>
    <mergeCell ref="J11:J12"/>
    <mergeCell ref="K11:K15"/>
    <mergeCell ref="V7:W7"/>
    <mergeCell ref="X7:AA7"/>
    <mergeCell ref="AB7:AG7"/>
    <mergeCell ref="AH7:AJ7"/>
    <mergeCell ref="AK7:AK8"/>
    <mergeCell ref="L11:L15"/>
    <mergeCell ref="M11:M15"/>
    <mergeCell ref="N11:N12"/>
    <mergeCell ref="O11:O15"/>
    <mergeCell ref="P11:P15"/>
    <mergeCell ref="AE11:AE15"/>
    <mergeCell ref="T11:T15"/>
    <mergeCell ref="U11:U15"/>
    <mergeCell ref="V11:V15"/>
    <mergeCell ref="W11:W15"/>
    <mergeCell ref="X11:X15"/>
    <mergeCell ref="Y11:Y15"/>
    <mergeCell ref="Z11:Z15"/>
    <mergeCell ref="AA11:AA15"/>
    <mergeCell ref="AB11:AB15"/>
    <mergeCell ref="AC11:AC15"/>
    <mergeCell ref="AD11:AD15"/>
    <mergeCell ref="AL11:AL15"/>
    <mergeCell ref="AM11:AM15"/>
    <mergeCell ref="AN11:AN15"/>
    <mergeCell ref="AF11:AF15"/>
    <mergeCell ref="AG11:AG15"/>
    <mergeCell ref="AH11:AH15"/>
    <mergeCell ref="AI11:AI15"/>
    <mergeCell ref="AJ11:AJ15"/>
    <mergeCell ref="AK11:AK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H114"/>
  <sheetViews>
    <sheetView showGridLines="0" tabSelected="1" zoomScale="60" zoomScaleNormal="60" workbookViewId="0">
      <selection sqref="A1:AM4"/>
    </sheetView>
  </sheetViews>
  <sheetFormatPr baseColWidth="10" defaultColWidth="19.140625" defaultRowHeight="27" customHeight="1" x14ac:dyDescent="0.2"/>
  <cols>
    <col min="1" max="1" width="19.140625" style="114"/>
    <col min="2" max="2" width="19.140625" style="4"/>
    <col min="3" max="3" width="10.85546875" style="4" customWidth="1"/>
    <col min="4" max="5" width="15.140625" style="4" customWidth="1"/>
    <col min="6" max="6" width="12" style="4" customWidth="1"/>
    <col min="7" max="7" width="19.140625" style="4"/>
    <col min="8" max="8" width="25.7109375" style="4" customWidth="1"/>
    <col min="9" max="9" width="42.85546875" style="161" customWidth="1"/>
    <col min="10" max="10" width="36.5703125" style="3" customWidth="1"/>
    <col min="11" max="11" width="25.7109375" style="3" customWidth="1"/>
    <col min="12" max="12" width="40.5703125" style="162" customWidth="1"/>
    <col min="13" max="13" width="26.5703125" style="163" customWidth="1"/>
    <col min="14" max="14" width="35.42578125" style="161" customWidth="1"/>
    <col min="15" max="15" width="19.140625" style="164"/>
    <col min="16" max="16" width="27.140625" style="165" customWidth="1"/>
    <col min="17" max="17" width="36.5703125" style="161" customWidth="1"/>
    <col min="18" max="18" width="42.85546875" style="161" customWidth="1"/>
    <col min="19" max="19" width="52.85546875" style="166" customWidth="1"/>
    <col min="20" max="20" width="26" style="167" customWidth="1"/>
    <col min="21" max="21" width="15.7109375" style="168" customWidth="1"/>
    <col min="22" max="22" width="23.42578125" style="169" customWidth="1"/>
    <col min="23" max="38" width="19.140625" style="170"/>
    <col min="39" max="39" width="19.140625" style="171"/>
    <col min="40" max="40" width="26" style="172" customWidth="1"/>
    <col min="41" max="41" width="23.7109375" style="173" customWidth="1"/>
    <col min="42" max="16384" width="19.140625" style="4"/>
  </cols>
  <sheetData>
    <row r="1" spans="1:60" ht="33" customHeight="1" x14ac:dyDescent="0.2">
      <c r="A1" s="2230" t="s">
        <v>0</v>
      </c>
      <c r="B1" s="2231"/>
      <c r="C1" s="2231"/>
      <c r="D1" s="2231"/>
      <c r="E1" s="2231"/>
      <c r="F1" s="2231"/>
      <c r="G1" s="2231"/>
      <c r="H1" s="2231"/>
      <c r="I1" s="2231"/>
      <c r="J1" s="2231"/>
      <c r="K1" s="2231"/>
      <c r="L1" s="2231"/>
      <c r="M1" s="2231"/>
      <c r="N1" s="2231"/>
      <c r="O1" s="2231"/>
      <c r="P1" s="2231"/>
      <c r="Q1" s="2231"/>
      <c r="R1" s="2231"/>
      <c r="S1" s="2231"/>
      <c r="T1" s="2231"/>
      <c r="U1" s="2231"/>
      <c r="V1" s="2231"/>
      <c r="W1" s="2231"/>
      <c r="X1" s="2231"/>
      <c r="Y1" s="2231"/>
      <c r="Z1" s="2231"/>
      <c r="AA1" s="2231"/>
      <c r="AB1" s="2231"/>
      <c r="AC1" s="2231"/>
      <c r="AD1" s="2231"/>
      <c r="AE1" s="2231"/>
      <c r="AF1" s="2231"/>
      <c r="AG1" s="2231"/>
      <c r="AH1" s="2231"/>
      <c r="AI1" s="2231"/>
      <c r="AJ1" s="2231"/>
      <c r="AK1" s="2231"/>
      <c r="AL1" s="2231"/>
      <c r="AM1" s="2232"/>
      <c r="AN1" s="1" t="s">
        <v>1</v>
      </c>
      <c r="AO1" s="2" t="s">
        <v>2</v>
      </c>
      <c r="AP1" s="3"/>
      <c r="AQ1" s="3"/>
      <c r="AR1" s="3"/>
      <c r="AS1" s="3"/>
      <c r="AT1" s="3"/>
      <c r="AU1" s="3"/>
      <c r="AV1" s="3"/>
      <c r="AW1" s="3"/>
      <c r="AX1" s="3"/>
      <c r="AY1" s="3"/>
      <c r="AZ1" s="3"/>
      <c r="BA1" s="3"/>
      <c r="BB1" s="3"/>
      <c r="BC1" s="3"/>
      <c r="BD1" s="3"/>
      <c r="BE1" s="3"/>
      <c r="BF1" s="3"/>
      <c r="BG1" s="3"/>
      <c r="BH1" s="3"/>
    </row>
    <row r="2" spans="1:60" ht="33" customHeight="1" x14ac:dyDescent="0.2">
      <c r="A2" s="2231"/>
      <c r="B2" s="2231"/>
      <c r="C2" s="2231"/>
      <c r="D2" s="2231"/>
      <c r="E2" s="2231"/>
      <c r="F2" s="2231"/>
      <c r="G2" s="2231"/>
      <c r="H2" s="2231"/>
      <c r="I2" s="2231"/>
      <c r="J2" s="2231"/>
      <c r="K2" s="2231"/>
      <c r="L2" s="2231"/>
      <c r="M2" s="2231"/>
      <c r="N2" s="2231"/>
      <c r="O2" s="2231"/>
      <c r="P2" s="2231"/>
      <c r="Q2" s="2231"/>
      <c r="R2" s="2231"/>
      <c r="S2" s="2231"/>
      <c r="T2" s="2231"/>
      <c r="U2" s="2231"/>
      <c r="V2" s="2231"/>
      <c r="W2" s="2231"/>
      <c r="X2" s="2231"/>
      <c r="Y2" s="2231"/>
      <c r="Z2" s="2231"/>
      <c r="AA2" s="2231"/>
      <c r="AB2" s="2231"/>
      <c r="AC2" s="2231"/>
      <c r="AD2" s="2231"/>
      <c r="AE2" s="2231"/>
      <c r="AF2" s="2231"/>
      <c r="AG2" s="2231"/>
      <c r="AH2" s="2231"/>
      <c r="AI2" s="2231"/>
      <c r="AJ2" s="2231"/>
      <c r="AK2" s="2231"/>
      <c r="AL2" s="2231"/>
      <c r="AM2" s="2232"/>
      <c r="AN2" s="1" t="s">
        <v>3</v>
      </c>
      <c r="AO2" s="2" t="s">
        <v>4</v>
      </c>
      <c r="AP2" s="3"/>
      <c r="AQ2" s="3"/>
      <c r="AR2" s="3"/>
      <c r="AS2" s="3"/>
      <c r="AT2" s="3"/>
      <c r="AU2" s="3"/>
      <c r="AV2" s="3"/>
      <c r="AW2" s="3"/>
      <c r="AX2" s="3"/>
      <c r="AY2" s="3"/>
      <c r="AZ2" s="3"/>
      <c r="BA2" s="3"/>
      <c r="BB2" s="3"/>
      <c r="BC2" s="3"/>
      <c r="BD2" s="3"/>
      <c r="BE2" s="3"/>
      <c r="BF2" s="3"/>
      <c r="BG2" s="3"/>
      <c r="BH2" s="3"/>
    </row>
    <row r="3" spans="1:60" ht="33" customHeight="1" x14ac:dyDescent="0.2">
      <c r="A3" s="2231"/>
      <c r="B3" s="2231"/>
      <c r="C3" s="2231"/>
      <c r="D3" s="2231"/>
      <c r="E3" s="2231"/>
      <c r="F3" s="2231"/>
      <c r="G3" s="2231"/>
      <c r="H3" s="2231"/>
      <c r="I3" s="2231"/>
      <c r="J3" s="2231"/>
      <c r="K3" s="2231"/>
      <c r="L3" s="2231"/>
      <c r="M3" s="2231"/>
      <c r="N3" s="2231"/>
      <c r="O3" s="2231"/>
      <c r="P3" s="2231"/>
      <c r="Q3" s="2231"/>
      <c r="R3" s="2231"/>
      <c r="S3" s="2231"/>
      <c r="T3" s="2231"/>
      <c r="U3" s="2231"/>
      <c r="V3" s="2231"/>
      <c r="W3" s="2231"/>
      <c r="X3" s="2231"/>
      <c r="Y3" s="2231"/>
      <c r="Z3" s="2231"/>
      <c r="AA3" s="2231"/>
      <c r="AB3" s="2231"/>
      <c r="AC3" s="2231"/>
      <c r="AD3" s="2231"/>
      <c r="AE3" s="2231"/>
      <c r="AF3" s="2231"/>
      <c r="AG3" s="2231"/>
      <c r="AH3" s="2231"/>
      <c r="AI3" s="2231"/>
      <c r="AJ3" s="2231"/>
      <c r="AK3" s="2231"/>
      <c r="AL3" s="2231"/>
      <c r="AM3" s="2232"/>
      <c r="AN3" s="1" t="s">
        <v>5</v>
      </c>
      <c r="AO3" s="5" t="s">
        <v>6</v>
      </c>
      <c r="AP3" s="3"/>
      <c r="AQ3" s="3"/>
      <c r="AR3" s="3"/>
      <c r="AS3" s="3"/>
      <c r="AT3" s="3"/>
      <c r="AU3" s="3"/>
      <c r="AV3" s="3"/>
      <c r="AW3" s="3"/>
      <c r="AX3" s="3"/>
      <c r="AY3" s="3"/>
      <c r="AZ3" s="3"/>
      <c r="BA3" s="3"/>
      <c r="BB3" s="3"/>
      <c r="BC3" s="3"/>
      <c r="BD3" s="3"/>
      <c r="BE3" s="3"/>
      <c r="BF3" s="3"/>
      <c r="BG3" s="3"/>
      <c r="BH3" s="3"/>
    </row>
    <row r="4" spans="1:60" ht="33" customHeight="1" x14ac:dyDescent="0.2">
      <c r="A4" s="2233"/>
      <c r="B4" s="2233"/>
      <c r="C4" s="2233"/>
      <c r="D4" s="2233"/>
      <c r="E4" s="2233"/>
      <c r="F4" s="2233"/>
      <c r="G4" s="2233"/>
      <c r="H4" s="2233"/>
      <c r="I4" s="2233"/>
      <c r="J4" s="2233"/>
      <c r="K4" s="2233"/>
      <c r="L4" s="2233"/>
      <c r="M4" s="2233"/>
      <c r="N4" s="2233"/>
      <c r="O4" s="2233"/>
      <c r="P4" s="2233"/>
      <c r="Q4" s="2233"/>
      <c r="R4" s="2233"/>
      <c r="S4" s="2233"/>
      <c r="T4" s="2233"/>
      <c r="U4" s="2233"/>
      <c r="V4" s="2233"/>
      <c r="W4" s="2233"/>
      <c r="X4" s="2233"/>
      <c r="Y4" s="2233"/>
      <c r="Z4" s="2233"/>
      <c r="AA4" s="2233"/>
      <c r="AB4" s="2233"/>
      <c r="AC4" s="2233"/>
      <c r="AD4" s="2233"/>
      <c r="AE4" s="2233"/>
      <c r="AF4" s="2233"/>
      <c r="AG4" s="2233"/>
      <c r="AH4" s="2233"/>
      <c r="AI4" s="2233"/>
      <c r="AJ4" s="2233"/>
      <c r="AK4" s="2233"/>
      <c r="AL4" s="2233"/>
      <c r="AM4" s="2234"/>
      <c r="AN4" s="1" t="s">
        <v>7</v>
      </c>
      <c r="AO4" s="6" t="s">
        <v>8</v>
      </c>
      <c r="AP4" s="3"/>
      <c r="AQ4" s="3"/>
      <c r="AR4" s="3"/>
      <c r="AS4" s="3"/>
      <c r="AT4" s="3"/>
      <c r="AU4" s="3"/>
      <c r="AV4" s="3"/>
      <c r="AW4" s="3"/>
      <c r="AX4" s="3"/>
      <c r="AY4" s="3"/>
      <c r="AZ4" s="3"/>
      <c r="BA4" s="3"/>
      <c r="BB4" s="3"/>
      <c r="BC4" s="3"/>
      <c r="BD4" s="3"/>
      <c r="BE4" s="3"/>
      <c r="BF4" s="3"/>
      <c r="BG4" s="3"/>
      <c r="BH4" s="3"/>
    </row>
    <row r="5" spans="1:60" ht="42" customHeight="1" x14ac:dyDescent="0.2">
      <c r="A5" s="2235" t="s">
        <v>9</v>
      </c>
      <c r="B5" s="2235"/>
      <c r="C5" s="2235"/>
      <c r="D5" s="2235"/>
      <c r="E5" s="2235"/>
      <c r="F5" s="2235"/>
      <c r="G5" s="2235"/>
      <c r="H5" s="2235"/>
      <c r="I5" s="2235"/>
      <c r="J5" s="2235"/>
      <c r="K5" s="2235"/>
      <c r="L5" s="2236" t="s">
        <v>10</v>
      </c>
      <c r="M5" s="2236"/>
      <c r="N5" s="2236"/>
      <c r="O5" s="2236"/>
      <c r="P5" s="2236"/>
      <c r="Q5" s="2236"/>
      <c r="R5" s="2236"/>
      <c r="S5" s="2236"/>
      <c r="T5" s="2236"/>
      <c r="U5" s="2236"/>
      <c r="V5" s="2236"/>
      <c r="W5" s="2236"/>
      <c r="X5" s="2236"/>
      <c r="Y5" s="2236"/>
      <c r="Z5" s="2236"/>
      <c r="AA5" s="2236"/>
      <c r="AB5" s="2236"/>
      <c r="AC5" s="2236"/>
      <c r="AD5" s="2236"/>
      <c r="AE5" s="2236"/>
      <c r="AF5" s="2236"/>
      <c r="AG5" s="2236"/>
      <c r="AH5" s="2236"/>
      <c r="AI5" s="2236"/>
      <c r="AJ5" s="2236"/>
      <c r="AK5" s="2236"/>
      <c r="AL5" s="2236"/>
      <c r="AM5" s="2236"/>
      <c r="AN5" s="2236"/>
      <c r="AO5" s="2236"/>
      <c r="AP5" s="3"/>
      <c r="AQ5" s="3"/>
      <c r="AR5" s="3"/>
      <c r="AS5" s="3"/>
      <c r="AT5" s="3"/>
      <c r="AU5" s="3"/>
      <c r="AV5" s="3"/>
      <c r="AW5" s="3"/>
      <c r="AX5" s="3"/>
      <c r="AY5" s="3"/>
      <c r="AZ5" s="3"/>
      <c r="BA5" s="3"/>
      <c r="BB5" s="3"/>
      <c r="BC5" s="3"/>
      <c r="BD5" s="3"/>
      <c r="BE5" s="3"/>
      <c r="BF5" s="3"/>
      <c r="BG5" s="3"/>
      <c r="BH5" s="3"/>
    </row>
    <row r="6" spans="1:60" ht="42" customHeight="1" x14ac:dyDescent="0.2">
      <c r="A6" s="2233"/>
      <c r="B6" s="2233"/>
      <c r="C6" s="2233"/>
      <c r="D6" s="2233"/>
      <c r="E6" s="2233"/>
      <c r="F6" s="2233"/>
      <c r="G6" s="2233"/>
      <c r="H6" s="2233"/>
      <c r="I6" s="2233"/>
      <c r="J6" s="2233"/>
      <c r="K6" s="2233"/>
      <c r="L6" s="7"/>
      <c r="M6" s="8"/>
      <c r="N6" s="8"/>
      <c r="O6" s="9"/>
      <c r="P6" s="8"/>
      <c r="Q6" s="8"/>
      <c r="R6" s="8"/>
      <c r="S6" s="10"/>
      <c r="T6" s="11"/>
      <c r="U6" s="8"/>
      <c r="V6" s="8"/>
      <c r="W6" s="2237" t="s">
        <v>11</v>
      </c>
      <c r="X6" s="2233"/>
      <c r="Y6" s="2233"/>
      <c r="Z6" s="2233"/>
      <c r="AA6" s="2233"/>
      <c r="AB6" s="2233"/>
      <c r="AC6" s="2233"/>
      <c r="AD6" s="2233"/>
      <c r="AE6" s="2233"/>
      <c r="AF6" s="2233"/>
      <c r="AG6" s="2233"/>
      <c r="AH6" s="2233"/>
      <c r="AI6" s="2233"/>
      <c r="AJ6" s="2233"/>
      <c r="AK6" s="2234"/>
      <c r="AL6" s="9"/>
      <c r="AM6" s="9"/>
      <c r="AN6" s="9"/>
      <c r="AO6" s="12"/>
      <c r="AP6" s="3"/>
      <c r="AQ6" s="3"/>
      <c r="AR6" s="3"/>
      <c r="AS6" s="3"/>
      <c r="AT6" s="3"/>
      <c r="AU6" s="3"/>
      <c r="AV6" s="3"/>
      <c r="AW6" s="3"/>
      <c r="AX6" s="3"/>
      <c r="AY6" s="3"/>
      <c r="AZ6" s="3"/>
      <c r="BA6" s="3"/>
      <c r="BB6" s="3"/>
      <c r="BC6" s="3"/>
      <c r="BD6" s="3"/>
      <c r="BE6" s="3"/>
      <c r="BF6" s="3"/>
      <c r="BG6" s="3"/>
      <c r="BH6" s="3"/>
    </row>
    <row r="7" spans="1:60" ht="32.25" customHeight="1" x14ac:dyDescent="0.2">
      <c r="A7" s="2158" t="s">
        <v>12</v>
      </c>
      <c r="B7" s="2160" t="s">
        <v>13</v>
      </c>
      <c r="C7" s="2161"/>
      <c r="D7" s="2161" t="s">
        <v>12</v>
      </c>
      <c r="E7" s="2160" t="s">
        <v>14</v>
      </c>
      <c r="F7" s="2161"/>
      <c r="G7" s="2161" t="s">
        <v>12</v>
      </c>
      <c r="H7" s="13"/>
      <c r="I7" s="2160" t="s">
        <v>15</v>
      </c>
      <c r="J7" s="2143" t="s">
        <v>16</v>
      </c>
      <c r="K7" s="2143" t="s">
        <v>17</v>
      </c>
      <c r="L7" s="2143" t="s">
        <v>18</v>
      </c>
      <c r="M7" s="2143" t="s">
        <v>19</v>
      </c>
      <c r="N7" s="2143" t="s">
        <v>10</v>
      </c>
      <c r="O7" s="2165" t="s">
        <v>20</v>
      </c>
      <c r="P7" s="2167" t="s">
        <v>21</v>
      </c>
      <c r="Q7" s="2160" t="s">
        <v>22</v>
      </c>
      <c r="R7" s="2160" t="s">
        <v>23</v>
      </c>
      <c r="S7" s="2250" t="s">
        <v>24</v>
      </c>
      <c r="T7" s="2252" t="s">
        <v>21</v>
      </c>
      <c r="U7" s="14"/>
      <c r="V7" s="2143" t="s">
        <v>25</v>
      </c>
      <c r="W7" s="2249" t="s">
        <v>26</v>
      </c>
      <c r="X7" s="2249"/>
      <c r="Y7" s="2241" t="s">
        <v>27</v>
      </c>
      <c r="Z7" s="2241"/>
      <c r="AA7" s="2241"/>
      <c r="AB7" s="2241"/>
      <c r="AC7" s="2242" t="s">
        <v>28</v>
      </c>
      <c r="AD7" s="2243"/>
      <c r="AE7" s="2243"/>
      <c r="AF7" s="2243"/>
      <c r="AG7" s="2243"/>
      <c r="AH7" s="2244"/>
      <c r="AI7" s="2241" t="s">
        <v>29</v>
      </c>
      <c r="AJ7" s="2241"/>
      <c r="AK7" s="2241"/>
      <c r="AL7" s="2245" t="s">
        <v>30</v>
      </c>
      <c r="AM7" s="2173" t="s">
        <v>31</v>
      </c>
      <c r="AN7" s="2173" t="s">
        <v>32</v>
      </c>
      <c r="AO7" s="2239" t="s">
        <v>33</v>
      </c>
      <c r="AP7" s="3"/>
      <c r="AQ7" s="3"/>
      <c r="AR7" s="3"/>
      <c r="AS7" s="3"/>
      <c r="AT7" s="3"/>
      <c r="AU7" s="3"/>
      <c r="AV7" s="3"/>
      <c r="AW7" s="3"/>
      <c r="AX7" s="3"/>
      <c r="AY7" s="3"/>
      <c r="AZ7" s="3"/>
      <c r="BA7" s="3"/>
      <c r="BB7" s="3"/>
      <c r="BC7" s="3"/>
      <c r="BD7" s="3"/>
      <c r="BE7" s="3"/>
      <c r="BF7" s="3"/>
      <c r="BG7" s="3"/>
      <c r="BH7" s="3"/>
    </row>
    <row r="8" spans="1:60" ht="159" customHeight="1" x14ac:dyDescent="0.2">
      <c r="A8" s="2159"/>
      <c r="B8" s="2162"/>
      <c r="C8" s="2163"/>
      <c r="D8" s="2163"/>
      <c r="E8" s="2162"/>
      <c r="F8" s="2163"/>
      <c r="G8" s="2163"/>
      <c r="H8" s="15" t="s">
        <v>34</v>
      </c>
      <c r="I8" s="2162"/>
      <c r="J8" s="2144"/>
      <c r="K8" s="2144"/>
      <c r="L8" s="2144"/>
      <c r="M8" s="2144"/>
      <c r="N8" s="2144"/>
      <c r="O8" s="2166"/>
      <c r="P8" s="2168"/>
      <c r="Q8" s="2162"/>
      <c r="R8" s="2162"/>
      <c r="S8" s="2251"/>
      <c r="T8" s="2253"/>
      <c r="U8" s="16" t="s">
        <v>12</v>
      </c>
      <c r="V8" s="2144"/>
      <c r="W8" s="17" t="s">
        <v>35</v>
      </c>
      <c r="X8" s="18" t="s">
        <v>36</v>
      </c>
      <c r="Y8" s="19" t="s">
        <v>37</v>
      </c>
      <c r="Z8" s="19" t="s">
        <v>38</v>
      </c>
      <c r="AA8" s="19" t="s">
        <v>39</v>
      </c>
      <c r="AB8" s="19" t="s">
        <v>40</v>
      </c>
      <c r="AC8" s="19" t="s">
        <v>41</v>
      </c>
      <c r="AD8" s="19" t="s">
        <v>42</v>
      </c>
      <c r="AE8" s="19" t="s">
        <v>43</v>
      </c>
      <c r="AF8" s="19" t="s">
        <v>44</v>
      </c>
      <c r="AG8" s="19" t="s">
        <v>45</v>
      </c>
      <c r="AH8" s="19" t="s">
        <v>46</v>
      </c>
      <c r="AI8" s="19" t="s">
        <v>47</v>
      </c>
      <c r="AJ8" s="19" t="s">
        <v>48</v>
      </c>
      <c r="AK8" s="19" t="s">
        <v>49</v>
      </c>
      <c r="AL8" s="2246"/>
      <c r="AM8" s="2238"/>
      <c r="AN8" s="2238"/>
      <c r="AO8" s="2240"/>
      <c r="AP8" s="3"/>
      <c r="AQ8" s="3"/>
      <c r="AR8" s="3"/>
      <c r="AS8" s="3"/>
      <c r="AT8" s="3"/>
      <c r="AU8" s="3"/>
      <c r="AV8" s="3"/>
      <c r="AW8" s="3"/>
      <c r="AX8" s="3"/>
      <c r="AY8" s="3"/>
      <c r="AZ8" s="3"/>
      <c r="BA8" s="3"/>
      <c r="BB8" s="3"/>
      <c r="BC8" s="3"/>
      <c r="BD8" s="3"/>
      <c r="BE8" s="3"/>
      <c r="BF8" s="3"/>
      <c r="BG8" s="3"/>
      <c r="BH8" s="3"/>
    </row>
    <row r="9" spans="1:60" ht="27" customHeight="1" x14ac:dyDescent="0.2">
      <c r="A9" s="20">
        <v>4</v>
      </c>
      <c r="B9" s="21" t="s">
        <v>50</v>
      </c>
      <c r="C9" s="22"/>
      <c r="D9" s="23"/>
      <c r="E9" s="23"/>
      <c r="F9" s="23"/>
      <c r="G9" s="23"/>
      <c r="H9" s="23"/>
      <c r="I9" s="24"/>
      <c r="J9" s="23"/>
      <c r="K9" s="23"/>
      <c r="L9" s="25"/>
      <c r="M9" s="26"/>
      <c r="N9" s="24"/>
      <c r="O9" s="27"/>
      <c r="P9" s="28"/>
      <c r="Q9" s="24"/>
      <c r="R9" s="24"/>
      <c r="S9" s="29"/>
      <c r="T9" s="30"/>
      <c r="U9" s="31"/>
      <c r="V9" s="26"/>
      <c r="W9" s="26"/>
      <c r="X9" s="26"/>
      <c r="Y9" s="26"/>
      <c r="Z9" s="26"/>
      <c r="AA9" s="26"/>
      <c r="AB9" s="26"/>
      <c r="AC9" s="26"/>
      <c r="AD9" s="26"/>
      <c r="AE9" s="26"/>
      <c r="AF9" s="26"/>
      <c r="AG9" s="26"/>
      <c r="AH9" s="26"/>
      <c r="AI9" s="26"/>
      <c r="AJ9" s="26"/>
      <c r="AK9" s="26"/>
      <c r="AL9" s="26"/>
      <c r="AM9" s="32"/>
      <c r="AN9" s="32"/>
      <c r="AO9" s="33"/>
      <c r="AP9" s="3"/>
      <c r="AQ9" s="3"/>
      <c r="AR9" s="3"/>
      <c r="AS9" s="3"/>
      <c r="AT9" s="3"/>
      <c r="AU9" s="3"/>
      <c r="AV9" s="3"/>
      <c r="AW9" s="3"/>
      <c r="AX9" s="3"/>
      <c r="AY9" s="3"/>
      <c r="AZ9" s="3"/>
      <c r="BA9" s="3"/>
      <c r="BB9" s="3"/>
      <c r="BC9" s="3"/>
      <c r="BD9" s="3"/>
      <c r="BE9" s="3"/>
      <c r="BF9" s="3"/>
      <c r="BG9" s="3"/>
      <c r="BH9" s="3"/>
    </row>
    <row r="10" spans="1:60" s="3" customFormat="1" ht="27" customHeight="1" x14ac:dyDescent="0.2">
      <c r="A10" s="34"/>
      <c r="B10" s="35"/>
      <c r="C10" s="35"/>
      <c r="D10" s="36">
        <v>42</v>
      </c>
      <c r="E10" s="37" t="s">
        <v>51</v>
      </c>
      <c r="F10" s="38"/>
      <c r="G10" s="38"/>
      <c r="H10" s="39"/>
      <c r="I10" s="40"/>
      <c r="J10" s="39"/>
      <c r="K10" s="39"/>
      <c r="L10" s="41"/>
      <c r="M10" s="42"/>
      <c r="N10" s="40"/>
      <c r="O10" s="43"/>
      <c r="P10" s="44"/>
      <c r="Q10" s="40"/>
      <c r="R10" s="40"/>
      <c r="S10" s="45"/>
      <c r="T10" s="46"/>
      <c r="U10" s="47"/>
      <c r="V10" s="42"/>
      <c r="W10" s="42"/>
      <c r="X10" s="42"/>
      <c r="Y10" s="42"/>
      <c r="Z10" s="42"/>
      <c r="AA10" s="42"/>
      <c r="AB10" s="42"/>
      <c r="AC10" s="42"/>
      <c r="AD10" s="42"/>
      <c r="AE10" s="42"/>
      <c r="AF10" s="42"/>
      <c r="AG10" s="42"/>
      <c r="AH10" s="42"/>
      <c r="AI10" s="42"/>
      <c r="AJ10" s="42"/>
      <c r="AK10" s="42"/>
      <c r="AL10" s="42"/>
      <c r="AM10" s="48"/>
      <c r="AN10" s="48"/>
      <c r="AO10" s="49"/>
    </row>
    <row r="11" spans="1:60" s="58" customFormat="1" ht="118.5" customHeight="1" x14ac:dyDescent="0.2">
      <c r="A11" s="50"/>
      <c r="B11" s="51"/>
      <c r="C11" s="51"/>
      <c r="D11" s="52"/>
      <c r="E11" s="53"/>
      <c r="F11" s="54"/>
      <c r="G11" s="2278" t="s">
        <v>52</v>
      </c>
      <c r="H11" s="2206" t="s">
        <v>53</v>
      </c>
      <c r="I11" s="2247" t="s">
        <v>54</v>
      </c>
      <c r="J11" s="2208" t="s">
        <v>55</v>
      </c>
      <c r="K11" s="2248">
        <v>1</v>
      </c>
      <c r="L11" s="2212" t="s">
        <v>56</v>
      </c>
      <c r="M11" s="2206" t="s">
        <v>57</v>
      </c>
      <c r="N11" s="2206" t="s">
        <v>58</v>
      </c>
      <c r="O11" s="2265">
        <f>SUM(T11:T22)/P11</f>
        <v>1</v>
      </c>
      <c r="P11" s="2266">
        <f>SUM(T11:T22)</f>
        <v>102285179</v>
      </c>
      <c r="Q11" s="2267" t="s">
        <v>59</v>
      </c>
      <c r="R11" s="2268" t="s">
        <v>60</v>
      </c>
      <c r="S11" s="55" t="s">
        <v>61</v>
      </c>
      <c r="T11" s="1907">
        <v>0</v>
      </c>
      <c r="U11" s="56"/>
      <c r="V11" s="57"/>
      <c r="W11" s="2254">
        <v>295972</v>
      </c>
      <c r="X11" s="2254">
        <v>285580</v>
      </c>
      <c r="Y11" s="2254">
        <v>135545</v>
      </c>
      <c r="Z11" s="2254">
        <v>44254</v>
      </c>
      <c r="AA11" s="2254">
        <v>309146</v>
      </c>
      <c r="AB11" s="2254">
        <v>92607</v>
      </c>
      <c r="AC11" s="2254">
        <v>2145</v>
      </c>
      <c r="AD11" s="2254">
        <v>12718</v>
      </c>
      <c r="AE11" s="2254">
        <v>26</v>
      </c>
      <c r="AF11" s="2254">
        <v>37</v>
      </c>
      <c r="AG11" s="2254">
        <v>0</v>
      </c>
      <c r="AH11" s="2254">
        <v>0</v>
      </c>
      <c r="AI11" s="2254">
        <v>44350</v>
      </c>
      <c r="AJ11" s="2254">
        <v>21944</v>
      </c>
      <c r="AK11" s="2254">
        <v>75687</v>
      </c>
      <c r="AL11" s="2254">
        <v>581552</v>
      </c>
      <c r="AM11" s="2264">
        <v>43832</v>
      </c>
      <c r="AN11" s="2218">
        <v>44195</v>
      </c>
      <c r="AO11" s="2254" t="s">
        <v>62</v>
      </c>
    </row>
    <row r="12" spans="1:60" s="58" customFormat="1" ht="110.25" customHeight="1" x14ac:dyDescent="0.2">
      <c r="A12" s="50"/>
      <c r="B12" s="51"/>
      <c r="C12" s="51"/>
      <c r="D12" s="59"/>
      <c r="E12" s="53"/>
      <c r="F12" s="60"/>
      <c r="G12" s="2279"/>
      <c r="H12" s="2206"/>
      <c r="I12" s="2247"/>
      <c r="J12" s="2208"/>
      <c r="K12" s="2248"/>
      <c r="L12" s="2212"/>
      <c r="M12" s="2206"/>
      <c r="N12" s="2206"/>
      <c r="O12" s="2265"/>
      <c r="P12" s="2266"/>
      <c r="Q12" s="2267"/>
      <c r="R12" s="2269"/>
      <c r="S12" s="55" t="s">
        <v>63</v>
      </c>
      <c r="T12" s="1907">
        <v>0</v>
      </c>
      <c r="U12" s="61"/>
      <c r="V12" s="57"/>
      <c r="W12" s="2254"/>
      <c r="X12" s="2254"/>
      <c r="Y12" s="2254"/>
      <c r="Z12" s="2254"/>
      <c r="AA12" s="2254"/>
      <c r="AB12" s="2254"/>
      <c r="AC12" s="2254"/>
      <c r="AD12" s="2254"/>
      <c r="AE12" s="2254"/>
      <c r="AF12" s="2254"/>
      <c r="AG12" s="2254"/>
      <c r="AH12" s="2254"/>
      <c r="AI12" s="2254"/>
      <c r="AJ12" s="2254"/>
      <c r="AK12" s="2254"/>
      <c r="AL12" s="2254"/>
      <c r="AM12" s="2264"/>
      <c r="AN12" s="2218"/>
      <c r="AO12" s="2254"/>
    </row>
    <row r="13" spans="1:60" s="58" customFormat="1" ht="151.5" customHeight="1" x14ac:dyDescent="0.2">
      <c r="A13" s="50"/>
      <c r="B13" s="51"/>
      <c r="C13" s="51"/>
      <c r="D13" s="59"/>
      <c r="E13" s="53"/>
      <c r="F13" s="60"/>
      <c r="G13" s="2279"/>
      <c r="H13" s="2206"/>
      <c r="I13" s="2247"/>
      <c r="J13" s="2208"/>
      <c r="K13" s="2248"/>
      <c r="L13" s="2212"/>
      <c r="M13" s="2206"/>
      <c r="N13" s="2206"/>
      <c r="O13" s="2265"/>
      <c r="P13" s="2266"/>
      <c r="Q13" s="2267"/>
      <c r="R13" s="2269"/>
      <c r="S13" s="55" t="s">
        <v>64</v>
      </c>
      <c r="T13" s="1907">
        <v>0</v>
      </c>
      <c r="U13" s="61"/>
      <c r="V13" s="57"/>
      <c r="W13" s="2254"/>
      <c r="X13" s="2254"/>
      <c r="Y13" s="2254"/>
      <c r="Z13" s="2254"/>
      <c r="AA13" s="2254"/>
      <c r="AB13" s="2254"/>
      <c r="AC13" s="2254"/>
      <c r="AD13" s="2254"/>
      <c r="AE13" s="2254"/>
      <c r="AF13" s="2254"/>
      <c r="AG13" s="2254"/>
      <c r="AH13" s="2254"/>
      <c r="AI13" s="2254"/>
      <c r="AJ13" s="2254"/>
      <c r="AK13" s="2254"/>
      <c r="AL13" s="2254"/>
      <c r="AM13" s="2264"/>
      <c r="AN13" s="2218"/>
      <c r="AO13" s="2254"/>
    </row>
    <row r="14" spans="1:60" s="58" customFormat="1" ht="113.25" customHeight="1" x14ac:dyDescent="0.2">
      <c r="A14" s="50"/>
      <c r="B14" s="51"/>
      <c r="C14" s="51"/>
      <c r="D14" s="59"/>
      <c r="E14" s="53"/>
      <c r="F14" s="60"/>
      <c r="G14" s="2279"/>
      <c r="H14" s="2206"/>
      <c r="I14" s="2247"/>
      <c r="J14" s="2208"/>
      <c r="K14" s="2248"/>
      <c r="L14" s="2212"/>
      <c r="M14" s="2206"/>
      <c r="N14" s="2206"/>
      <c r="O14" s="2265"/>
      <c r="P14" s="2266"/>
      <c r="Q14" s="2267"/>
      <c r="R14" s="2269"/>
      <c r="S14" s="55" t="s">
        <v>65</v>
      </c>
      <c r="T14" s="1907">
        <v>0</v>
      </c>
      <c r="U14" s="61"/>
      <c r="V14" s="57"/>
      <c r="W14" s="2254"/>
      <c r="X14" s="2254"/>
      <c r="Y14" s="2254"/>
      <c r="Z14" s="2254"/>
      <c r="AA14" s="2254"/>
      <c r="AB14" s="2254"/>
      <c r="AC14" s="2254"/>
      <c r="AD14" s="2254"/>
      <c r="AE14" s="2254"/>
      <c r="AF14" s="2254"/>
      <c r="AG14" s="2254"/>
      <c r="AH14" s="2254"/>
      <c r="AI14" s="2254"/>
      <c r="AJ14" s="2254"/>
      <c r="AK14" s="2254"/>
      <c r="AL14" s="2254"/>
      <c r="AM14" s="2264"/>
      <c r="AN14" s="2218"/>
      <c r="AO14" s="2254"/>
    </row>
    <row r="15" spans="1:60" s="58" customFormat="1" ht="65.25" customHeight="1" x14ac:dyDescent="0.2">
      <c r="A15" s="50"/>
      <c r="B15" s="51"/>
      <c r="C15" s="51"/>
      <c r="D15" s="59"/>
      <c r="E15" s="53"/>
      <c r="F15" s="60"/>
      <c r="G15" s="2279"/>
      <c r="H15" s="2206"/>
      <c r="I15" s="2247"/>
      <c r="J15" s="2208"/>
      <c r="K15" s="2248"/>
      <c r="L15" s="2212"/>
      <c r="M15" s="2206"/>
      <c r="N15" s="2206"/>
      <c r="O15" s="2265"/>
      <c r="P15" s="2266"/>
      <c r="Q15" s="2267"/>
      <c r="R15" s="2269"/>
      <c r="S15" s="55" t="s">
        <v>66</v>
      </c>
      <c r="T15" s="1907">
        <v>69460179</v>
      </c>
      <c r="U15" s="61">
        <v>88</v>
      </c>
      <c r="V15" s="1635" t="s">
        <v>466</v>
      </c>
      <c r="W15" s="2254"/>
      <c r="X15" s="2254"/>
      <c r="Y15" s="2254"/>
      <c r="Z15" s="2254"/>
      <c r="AA15" s="2254"/>
      <c r="AB15" s="2254"/>
      <c r="AC15" s="2254"/>
      <c r="AD15" s="2254"/>
      <c r="AE15" s="2254"/>
      <c r="AF15" s="2254"/>
      <c r="AG15" s="2254"/>
      <c r="AH15" s="2254"/>
      <c r="AI15" s="2254"/>
      <c r="AJ15" s="2254"/>
      <c r="AK15" s="2254"/>
      <c r="AL15" s="2254"/>
      <c r="AM15" s="2264"/>
      <c r="AN15" s="2218"/>
      <c r="AO15" s="2254"/>
    </row>
    <row r="16" spans="1:60" s="58" customFormat="1" ht="57" customHeight="1" x14ac:dyDescent="0.2">
      <c r="A16" s="50"/>
      <c r="B16" s="51"/>
      <c r="C16" s="51"/>
      <c r="D16" s="59"/>
      <c r="E16" s="53"/>
      <c r="F16" s="60"/>
      <c r="G16" s="2279"/>
      <c r="H16" s="2206"/>
      <c r="I16" s="2247"/>
      <c r="J16" s="2208"/>
      <c r="K16" s="2248"/>
      <c r="L16" s="2212"/>
      <c r="M16" s="2206"/>
      <c r="N16" s="2206"/>
      <c r="O16" s="2265"/>
      <c r="P16" s="2266"/>
      <c r="Q16" s="2267"/>
      <c r="R16" s="2269"/>
      <c r="S16" s="55" t="s">
        <v>67</v>
      </c>
      <c r="T16" s="1907">
        <v>0</v>
      </c>
      <c r="U16" s="61"/>
      <c r="V16" s="57"/>
      <c r="W16" s="2254"/>
      <c r="X16" s="2254"/>
      <c r="Y16" s="2254"/>
      <c r="Z16" s="2254"/>
      <c r="AA16" s="2254"/>
      <c r="AB16" s="2254"/>
      <c r="AC16" s="2254"/>
      <c r="AD16" s="2254"/>
      <c r="AE16" s="2254"/>
      <c r="AF16" s="2254"/>
      <c r="AG16" s="2254"/>
      <c r="AH16" s="2254"/>
      <c r="AI16" s="2254"/>
      <c r="AJ16" s="2254"/>
      <c r="AK16" s="2254"/>
      <c r="AL16" s="2254"/>
      <c r="AM16" s="2264"/>
      <c r="AN16" s="2218"/>
      <c r="AO16" s="2254"/>
    </row>
    <row r="17" spans="1:41" s="58" customFormat="1" ht="49.5" customHeight="1" x14ac:dyDescent="0.2">
      <c r="A17" s="50"/>
      <c r="B17" s="51"/>
      <c r="C17" s="51"/>
      <c r="D17" s="59"/>
      <c r="E17" s="53"/>
      <c r="F17" s="60"/>
      <c r="G17" s="2279"/>
      <c r="H17" s="2206"/>
      <c r="I17" s="2247"/>
      <c r="J17" s="2208"/>
      <c r="K17" s="2248"/>
      <c r="L17" s="2212"/>
      <c r="M17" s="2206"/>
      <c r="N17" s="2206"/>
      <c r="O17" s="2265"/>
      <c r="P17" s="2266"/>
      <c r="Q17" s="2267"/>
      <c r="R17" s="2269"/>
      <c r="S17" s="55" t="s">
        <v>68</v>
      </c>
      <c r="T17" s="1907">
        <v>0</v>
      </c>
      <c r="U17" s="61"/>
      <c r="V17" s="57"/>
      <c r="W17" s="2254"/>
      <c r="X17" s="2254"/>
      <c r="Y17" s="2254"/>
      <c r="Z17" s="2254"/>
      <c r="AA17" s="2254"/>
      <c r="AB17" s="2254"/>
      <c r="AC17" s="2254"/>
      <c r="AD17" s="2254"/>
      <c r="AE17" s="2254"/>
      <c r="AF17" s="2254"/>
      <c r="AG17" s="2254"/>
      <c r="AH17" s="2254"/>
      <c r="AI17" s="2254"/>
      <c r="AJ17" s="2254"/>
      <c r="AK17" s="2254"/>
      <c r="AL17" s="2254"/>
      <c r="AM17" s="2264"/>
      <c r="AN17" s="2218"/>
      <c r="AO17" s="2254"/>
    </row>
    <row r="18" spans="1:41" s="58" customFormat="1" ht="49.5" customHeight="1" x14ac:dyDescent="0.2">
      <c r="A18" s="50"/>
      <c r="B18" s="51"/>
      <c r="C18" s="51"/>
      <c r="D18" s="59"/>
      <c r="E18" s="53"/>
      <c r="F18" s="60"/>
      <c r="G18" s="2279"/>
      <c r="H18" s="2206"/>
      <c r="I18" s="2247"/>
      <c r="J18" s="2208"/>
      <c r="K18" s="2248"/>
      <c r="L18" s="2212"/>
      <c r="M18" s="2206"/>
      <c r="N18" s="2206"/>
      <c r="O18" s="2265"/>
      <c r="P18" s="2266"/>
      <c r="Q18" s="2267"/>
      <c r="R18" s="2269"/>
      <c r="S18" s="2255" t="s">
        <v>69</v>
      </c>
      <c r="T18" s="1907">
        <v>6425000</v>
      </c>
      <c r="U18" s="61">
        <v>20</v>
      </c>
      <c r="V18" s="57" t="s">
        <v>70</v>
      </c>
      <c r="W18" s="2254"/>
      <c r="X18" s="2254"/>
      <c r="Y18" s="2254"/>
      <c r="Z18" s="2254"/>
      <c r="AA18" s="2254"/>
      <c r="AB18" s="2254"/>
      <c r="AC18" s="2254"/>
      <c r="AD18" s="2254"/>
      <c r="AE18" s="2254"/>
      <c r="AF18" s="2254"/>
      <c r="AG18" s="2254"/>
      <c r="AH18" s="2254"/>
      <c r="AI18" s="2254"/>
      <c r="AJ18" s="2254"/>
      <c r="AK18" s="2254"/>
      <c r="AL18" s="2254"/>
      <c r="AM18" s="2264"/>
      <c r="AN18" s="2218"/>
      <c r="AO18" s="2254"/>
    </row>
    <row r="19" spans="1:41" s="58" customFormat="1" ht="57" customHeight="1" x14ac:dyDescent="0.2">
      <c r="A19" s="50"/>
      <c r="B19" s="51"/>
      <c r="C19" s="51"/>
      <c r="D19" s="59"/>
      <c r="E19" s="53"/>
      <c r="F19" s="60"/>
      <c r="G19" s="2279"/>
      <c r="H19" s="2206"/>
      <c r="I19" s="2247"/>
      <c r="J19" s="2208"/>
      <c r="K19" s="2248"/>
      <c r="L19" s="2212"/>
      <c r="M19" s="2206"/>
      <c r="N19" s="2206"/>
      <c r="O19" s="2265"/>
      <c r="P19" s="2266"/>
      <c r="Q19" s="2267"/>
      <c r="R19" s="2269"/>
      <c r="S19" s="2256"/>
      <c r="T19" s="1907">
        <v>8400000</v>
      </c>
      <c r="U19" s="61">
        <v>88</v>
      </c>
      <c r="V19" s="1635" t="s">
        <v>466</v>
      </c>
      <c r="W19" s="2254"/>
      <c r="X19" s="2254"/>
      <c r="Y19" s="2254"/>
      <c r="Z19" s="2254"/>
      <c r="AA19" s="2254"/>
      <c r="AB19" s="2254"/>
      <c r="AC19" s="2254"/>
      <c r="AD19" s="2254"/>
      <c r="AE19" s="2254"/>
      <c r="AF19" s="2254"/>
      <c r="AG19" s="2254"/>
      <c r="AH19" s="2254"/>
      <c r="AI19" s="2254"/>
      <c r="AJ19" s="2254"/>
      <c r="AK19" s="2254"/>
      <c r="AL19" s="2254"/>
      <c r="AM19" s="2264"/>
      <c r="AN19" s="2218"/>
      <c r="AO19" s="2254"/>
    </row>
    <row r="20" spans="1:41" s="58" customFormat="1" ht="47.25" customHeight="1" x14ac:dyDescent="0.2">
      <c r="A20" s="50"/>
      <c r="B20" s="51"/>
      <c r="C20" s="51"/>
      <c r="D20" s="59"/>
      <c r="E20" s="53"/>
      <c r="F20" s="60"/>
      <c r="G20" s="2279"/>
      <c r="H20" s="2206"/>
      <c r="I20" s="2247"/>
      <c r="J20" s="2208"/>
      <c r="K20" s="2248"/>
      <c r="L20" s="2212"/>
      <c r="M20" s="2206"/>
      <c r="N20" s="2206"/>
      <c r="O20" s="2265"/>
      <c r="P20" s="2266"/>
      <c r="Q20" s="2267"/>
      <c r="R20" s="2269"/>
      <c r="S20" s="55" t="s">
        <v>71</v>
      </c>
      <c r="T20" s="1907">
        <v>0</v>
      </c>
      <c r="U20" s="61"/>
      <c r="V20" s="62"/>
      <c r="W20" s="2254"/>
      <c r="X20" s="2254"/>
      <c r="Y20" s="2254"/>
      <c r="Z20" s="2254"/>
      <c r="AA20" s="2254"/>
      <c r="AB20" s="2254"/>
      <c r="AC20" s="2254"/>
      <c r="AD20" s="2254"/>
      <c r="AE20" s="2254"/>
      <c r="AF20" s="2254"/>
      <c r="AG20" s="2254"/>
      <c r="AH20" s="2254"/>
      <c r="AI20" s="2254"/>
      <c r="AJ20" s="2254"/>
      <c r="AK20" s="2254"/>
      <c r="AL20" s="2254"/>
      <c r="AM20" s="2264"/>
      <c r="AN20" s="2218"/>
      <c r="AO20" s="2254"/>
    </row>
    <row r="21" spans="1:41" s="58" customFormat="1" ht="62.25" customHeight="1" x14ac:dyDescent="0.2">
      <c r="A21" s="50"/>
      <c r="B21" s="51"/>
      <c r="C21" s="51"/>
      <c r="D21" s="59"/>
      <c r="E21" s="53"/>
      <c r="F21" s="60"/>
      <c r="G21" s="2279"/>
      <c r="H21" s="2206"/>
      <c r="I21" s="2247"/>
      <c r="J21" s="2208"/>
      <c r="K21" s="2248"/>
      <c r="L21" s="2212"/>
      <c r="M21" s="2206"/>
      <c r="N21" s="2206"/>
      <c r="O21" s="2265"/>
      <c r="P21" s="2266"/>
      <c r="Q21" s="2267"/>
      <c r="R21" s="2269"/>
      <c r="S21" s="55" t="s">
        <v>72</v>
      </c>
      <c r="T21" s="1908">
        <v>10000000</v>
      </c>
      <c r="U21" s="61">
        <v>88</v>
      </c>
      <c r="V21" s="57" t="s">
        <v>466</v>
      </c>
      <c r="W21" s="2254"/>
      <c r="X21" s="2254"/>
      <c r="Y21" s="2254"/>
      <c r="Z21" s="2254"/>
      <c r="AA21" s="2254"/>
      <c r="AB21" s="2254"/>
      <c r="AC21" s="2254"/>
      <c r="AD21" s="2254"/>
      <c r="AE21" s="2254"/>
      <c r="AF21" s="2254"/>
      <c r="AG21" s="2254"/>
      <c r="AH21" s="2254"/>
      <c r="AI21" s="2254"/>
      <c r="AJ21" s="2254"/>
      <c r="AK21" s="2254"/>
      <c r="AL21" s="2254"/>
      <c r="AM21" s="2264"/>
      <c r="AN21" s="2218"/>
      <c r="AO21" s="2254"/>
    </row>
    <row r="22" spans="1:41" s="3" customFormat="1" ht="54.75" customHeight="1" x14ac:dyDescent="0.2">
      <c r="A22" s="63"/>
      <c r="B22" s="64"/>
      <c r="C22" s="64"/>
      <c r="D22" s="65"/>
      <c r="E22" s="64"/>
      <c r="F22" s="66"/>
      <c r="G22" s="2280"/>
      <c r="H22" s="2206"/>
      <c r="I22" s="2247"/>
      <c r="J22" s="2208"/>
      <c r="K22" s="2248"/>
      <c r="L22" s="2212"/>
      <c r="M22" s="2206"/>
      <c r="N22" s="2206"/>
      <c r="O22" s="2265"/>
      <c r="P22" s="2266"/>
      <c r="Q22" s="2267"/>
      <c r="R22" s="2270"/>
      <c r="S22" s="55" t="s">
        <v>73</v>
      </c>
      <c r="T22" s="1908">
        <v>8000000</v>
      </c>
      <c r="U22" s="61">
        <v>88</v>
      </c>
      <c r="V22" s="1635" t="s">
        <v>466</v>
      </c>
      <c r="W22" s="2254"/>
      <c r="X22" s="2254"/>
      <c r="Y22" s="2254"/>
      <c r="Z22" s="2254"/>
      <c r="AA22" s="2254"/>
      <c r="AB22" s="2254"/>
      <c r="AC22" s="2254"/>
      <c r="AD22" s="2254"/>
      <c r="AE22" s="2254"/>
      <c r="AF22" s="2254"/>
      <c r="AG22" s="2254"/>
      <c r="AH22" s="2254"/>
      <c r="AI22" s="2254"/>
      <c r="AJ22" s="2254"/>
      <c r="AK22" s="2254"/>
      <c r="AL22" s="2254"/>
      <c r="AM22" s="2264"/>
      <c r="AN22" s="2218"/>
      <c r="AO22" s="2254"/>
    </row>
    <row r="23" spans="1:41" s="3" customFormat="1" ht="33.75" customHeight="1" x14ac:dyDescent="0.2">
      <c r="A23" s="63"/>
      <c r="B23" s="64"/>
      <c r="C23" s="64"/>
      <c r="D23" s="67">
        <v>45</v>
      </c>
      <c r="E23" s="36" t="s">
        <v>74</v>
      </c>
      <c r="F23" s="68"/>
      <c r="G23" s="69"/>
      <c r="H23" s="70"/>
      <c r="I23" s="71"/>
      <c r="J23" s="71"/>
      <c r="K23" s="72"/>
      <c r="L23" s="71"/>
      <c r="M23" s="70"/>
      <c r="N23" s="71"/>
      <c r="O23" s="73"/>
      <c r="P23" s="1929"/>
      <c r="Q23" s="71"/>
      <c r="R23" s="71"/>
      <c r="S23" s="74"/>
      <c r="T23" s="1909"/>
      <c r="U23" s="75"/>
      <c r="V23" s="71"/>
      <c r="W23" s="76"/>
      <c r="X23" s="76"/>
      <c r="Y23" s="76"/>
      <c r="Z23" s="76"/>
      <c r="AA23" s="76"/>
      <c r="AB23" s="76"/>
      <c r="AC23" s="76"/>
      <c r="AD23" s="76"/>
      <c r="AE23" s="76"/>
      <c r="AF23" s="76"/>
      <c r="AG23" s="76"/>
      <c r="AH23" s="76"/>
      <c r="AI23" s="76"/>
      <c r="AJ23" s="76"/>
      <c r="AK23" s="76"/>
      <c r="AL23" s="76"/>
      <c r="AM23" s="76"/>
      <c r="AN23" s="76"/>
      <c r="AO23" s="77"/>
    </row>
    <row r="24" spans="1:41" s="3" customFormat="1" ht="75" customHeight="1" x14ac:dyDescent="0.2">
      <c r="A24" s="63"/>
      <c r="B24" s="64"/>
      <c r="C24" s="64"/>
      <c r="D24" s="78"/>
      <c r="E24" s="79"/>
      <c r="F24" s="80"/>
      <c r="G24" s="2190" t="s">
        <v>52</v>
      </c>
      <c r="H24" s="2190" t="s">
        <v>75</v>
      </c>
      <c r="I24" s="2258" t="s">
        <v>76</v>
      </c>
      <c r="J24" s="2259" t="s">
        <v>77</v>
      </c>
      <c r="K24" s="2260">
        <v>1</v>
      </c>
      <c r="L24" s="2263" t="s">
        <v>78</v>
      </c>
      <c r="M24" s="2190" t="s">
        <v>79</v>
      </c>
      <c r="N24" s="2190" t="s">
        <v>80</v>
      </c>
      <c r="O24" s="2192">
        <f>SUM(T24:T35)/P24</f>
        <v>1</v>
      </c>
      <c r="P24" s="2275">
        <f>SUM(T24:T35)</f>
        <v>153233333</v>
      </c>
      <c r="Q24" s="2268" t="s">
        <v>81</v>
      </c>
      <c r="R24" s="2268" t="s">
        <v>82</v>
      </c>
      <c r="S24" s="55" t="s">
        <v>83</v>
      </c>
      <c r="T24" s="1910">
        <v>9807000</v>
      </c>
      <c r="U24" s="82">
        <v>20</v>
      </c>
      <c r="V24" s="65" t="s">
        <v>84</v>
      </c>
      <c r="W24" s="2271">
        <v>295972</v>
      </c>
      <c r="X24" s="2271">
        <v>285580</v>
      </c>
      <c r="Y24" s="2271">
        <v>135545</v>
      </c>
      <c r="Z24" s="2271">
        <v>44254</v>
      </c>
      <c r="AA24" s="2271">
        <v>309146</v>
      </c>
      <c r="AB24" s="2271">
        <v>92607</v>
      </c>
      <c r="AC24" s="2271">
        <v>2145</v>
      </c>
      <c r="AD24" s="2271">
        <v>12718</v>
      </c>
      <c r="AE24" s="2271">
        <v>26</v>
      </c>
      <c r="AF24" s="2271">
        <v>37</v>
      </c>
      <c r="AG24" s="2271">
        <v>0</v>
      </c>
      <c r="AH24" s="2271">
        <v>0</v>
      </c>
      <c r="AI24" s="2271">
        <v>44350</v>
      </c>
      <c r="AJ24" s="2271">
        <v>21944</v>
      </c>
      <c r="AK24" s="2271">
        <v>75687</v>
      </c>
      <c r="AL24" s="2271">
        <v>581552</v>
      </c>
      <c r="AM24" s="2289">
        <v>43832</v>
      </c>
      <c r="AN24" s="2216">
        <v>44195</v>
      </c>
      <c r="AO24" s="2271" t="s">
        <v>62</v>
      </c>
    </row>
    <row r="25" spans="1:41" s="3" customFormat="1" ht="75" customHeight="1" x14ac:dyDescent="0.2">
      <c r="A25" s="63"/>
      <c r="B25" s="64"/>
      <c r="C25" s="64"/>
      <c r="D25" s="84"/>
      <c r="E25" s="85"/>
      <c r="F25" s="86"/>
      <c r="G25" s="2191"/>
      <c r="H25" s="2191"/>
      <c r="I25" s="2258"/>
      <c r="J25" s="2259"/>
      <c r="K25" s="2261"/>
      <c r="L25" s="2263"/>
      <c r="M25" s="2191"/>
      <c r="N25" s="2191"/>
      <c r="O25" s="2193"/>
      <c r="P25" s="2276"/>
      <c r="Q25" s="2269"/>
      <c r="R25" s="2269"/>
      <c r="S25" s="55" t="s">
        <v>85</v>
      </c>
      <c r="T25" s="1910">
        <v>4230400</v>
      </c>
      <c r="U25" s="82">
        <v>20</v>
      </c>
      <c r="V25" s="65" t="s">
        <v>84</v>
      </c>
      <c r="W25" s="2272"/>
      <c r="X25" s="2272"/>
      <c r="Y25" s="2272"/>
      <c r="Z25" s="2272"/>
      <c r="AA25" s="2272"/>
      <c r="AB25" s="2272"/>
      <c r="AC25" s="2272"/>
      <c r="AD25" s="2272"/>
      <c r="AE25" s="2272"/>
      <c r="AF25" s="2272"/>
      <c r="AG25" s="2272"/>
      <c r="AH25" s="2272"/>
      <c r="AI25" s="2272"/>
      <c r="AJ25" s="2272"/>
      <c r="AK25" s="2272"/>
      <c r="AL25" s="2272"/>
      <c r="AM25" s="2290"/>
      <c r="AN25" s="2217"/>
      <c r="AO25" s="2272"/>
    </row>
    <row r="26" spans="1:41" s="3" customFormat="1" ht="52.5" customHeight="1" x14ac:dyDescent="0.2">
      <c r="A26" s="63"/>
      <c r="B26" s="64"/>
      <c r="C26" s="64"/>
      <c r="D26" s="84"/>
      <c r="E26" s="85"/>
      <c r="F26" s="86"/>
      <c r="G26" s="2191"/>
      <c r="H26" s="2191"/>
      <c r="I26" s="2258"/>
      <c r="J26" s="2259"/>
      <c r="K26" s="2261"/>
      <c r="L26" s="2263"/>
      <c r="M26" s="2191"/>
      <c r="N26" s="2191"/>
      <c r="O26" s="2193"/>
      <c r="P26" s="2276"/>
      <c r="Q26" s="2269"/>
      <c r="R26" s="2269"/>
      <c r="S26" s="55" t="s">
        <v>86</v>
      </c>
      <c r="T26" s="1910">
        <v>10821424</v>
      </c>
      <c r="U26" s="82">
        <v>20</v>
      </c>
      <c r="V26" s="65" t="s">
        <v>84</v>
      </c>
      <c r="W26" s="2272"/>
      <c r="X26" s="2272"/>
      <c r="Y26" s="2272"/>
      <c r="Z26" s="2272"/>
      <c r="AA26" s="2272"/>
      <c r="AB26" s="2272"/>
      <c r="AC26" s="2272"/>
      <c r="AD26" s="2272"/>
      <c r="AE26" s="2272"/>
      <c r="AF26" s="2272"/>
      <c r="AG26" s="2272"/>
      <c r="AH26" s="2272"/>
      <c r="AI26" s="2272"/>
      <c r="AJ26" s="2272"/>
      <c r="AK26" s="2272"/>
      <c r="AL26" s="2272"/>
      <c r="AM26" s="2290"/>
      <c r="AN26" s="2217"/>
      <c r="AO26" s="2272"/>
    </row>
    <row r="27" spans="1:41" s="3" customFormat="1" ht="39" customHeight="1" x14ac:dyDescent="0.2">
      <c r="A27" s="63"/>
      <c r="B27" s="64"/>
      <c r="C27" s="64"/>
      <c r="D27" s="84"/>
      <c r="E27" s="85"/>
      <c r="F27" s="86"/>
      <c r="G27" s="2191"/>
      <c r="H27" s="2191"/>
      <c r="I27" s="2258"/>
      <c r="J27" s="2259"/>
      <c r="K27" s="2261"/>
      <c r="L27" s="2263"/>
      <c r="M27" s="2191"/>
      <c r="N27" s="2191"/>
      <c r="O27" s="2193"/>
      <c r="P27" s="2276"/>
      <c r="Q27" s="2269"/>
      <c r="R27" s="2269"/>
      <c r="S27" s="55" t="s">
        <v>87</v>
      </c>
      <c r="T27" s="1910">
        <v>1680000</v>
      </c>
      <c r="U27" s="82">
        <v>20</v>
      </c>
      <c r="V27" s="65" t="s">
        <v>84</v>
      </c>
      <c r="W27" s="2272"/>
      <c r="X27" s="2272"/>
      <c r="Y27" s="2272"/>
      <c r="Z27" s="2272"/>
      <c r="AA27" s="2272"/>
      <c r="AB27" s="2272"/>
      <c r="AC27" s="2272"/>
      <c r="AD27" s="2272"/>
      <c r="AE27" s="2272"/>
      <c r="AF27" s="2272"/>
      <c r="AG27" s="2272"/>
      <c r="AH27" s="2272"/>
      <c r="AI27" s="2272"/>
      <c r="AJ27" s="2272"/>
      <c r="AK27" s="2272"/>
      <c r="AL27" s="2272"/>
      <c r="AM27" s="2290"/>
      <c r="AN27" s="2217"/>
      <c r="AO27" s="2272"/>
    </row>
    <row r="28" spans="1:41" s="3" customFormat="1" ht="51" customHeight="1" x14ac:dyDescent="0.2">
      <c r="A28" s="63"/>
      <c r="B28" s="64"/>
      <c r="C28" s="64"/>
      <c r="D28" s="84"/>
      <c r="E28" s="85"/>
      <c r="F28" s="86"/>
      <c r="G28" s="2191"/>
      <c r="H28" s="2191"/>
      <c r="I28" s="2258"/>
      <c r="J28" s="2259"/>
      <c r="K28" s="2261"/>
      <c r="L28" s="2263"/>
      <c r="M28" s="2191"/>
      <c r="N28" s="2191"/>
      <c r="O28" s="2193"/>
      <c r="P28" s="2276"/>
      <c r="Q28" s="2269"/>
      <c r="R28" s="2269"/>
      <c r="S28" s="55" t="s">
        <v>88</v>
      </c>
      <c r="T28" s="1910">
        <v>5040000</v>
      </c>
      <c r="U28" s="82">
        <v>20</v>
      </c>
      <c r="V28" s="65" t="s">
        <v>84</v>
      </c>
      <c r="W28" s="2272"/>
      <c r="X28" s="2272"/>
      <c r="Y28" s="2272"/>
      <c r="Z28" s="2272"/>
      <c r="AA28" s="2272"/>
      <c r="AB28" s="2272"/>
      <c r="AC28" s="2272"/>
      <c r="AD28" s="2272"/>
      <c r="AE28" s="2272"/>
      <c r="AF28" s="2272"/>
      <c r="AG28" s="2272"/>
      <c r="AH28" s="2272"/>
      <c r="AI28" s="2272"/>
      <c r="AJ28" s="2272"/>
      <c r="AK28" s="2272"/>
      <c r="AL28" s="2272"/>
      <c r="AM28" s="2290"/>
      <c r="AN28" s="2217"/>
      <c r="AO28" s="2272"/>
    </row>
    <row r="29" spans="1:41" s="3" customFormat="1" ht="40.5" customHeight="1" x14ac:dyDescent="0.2">
      <c r="A29" s="63"/>
      <c r="B29" s="64"/>
      <c r="C29" s="64"/>
      <c r="D29" s="84"/>
      <c r="E29" s="85"/>
      <c r="F29" s="86"/>
      <c r="G29" s="2191"/>
      <c r="H29" s="2191"/>
      <c r="I29" s="2258"/>
      <c r="J29" s="2259"/>
      <c r="K29" s="2261"/>
      <c r="L29" s="2263"/>
      <c r="M29" s="2191"/>
      <c r="N29" s="2191"/>
      <c r="O29" s="2193"/>
      <c r="P29" s="2276"/>
      <c r="Q29" s="2269"/>
      <c r="R29" s="2269"/>
      <c r="S29" s="55" t="s">
        <v>89</v>
      </c>
      <c r="T29" s="1910">
        <v>13014000</v>
      </c>
      <c r="U29" s="82">
        <v>20</v>
      </c>
      <c r="V29" s="65" t="s">
        <v>108</v>
      </c>
      <c r="W29" s="2272"/>
      <c r="X29" s="2272"/>
      <c r="Y29" s="2272"/>
      <c r="Z29" s="2272"/>
      <c r="AA29" s="2272"/>
      <c r="AB29" s="2272"/>
      <c r="AC29" s="2272"/>
      <c r="AD29" s="2272"/>
      <c r="AE29" s="2272"/>
      <c r="AF29" s="2272"/>
      <c r="AG29" s="2272"/>
      <c r="AH29" s="2272"/>
      <c r="AI29" s="2272"/>
      <c r="AJ29" s="2272"/>
      <c r="AK29" s="2272"/>
      <c r="AL29" s="2272"/>
      <c r="AM29" s="2290"/>
      <c r="AN29" s="2217"/>
      <c r="AO29" s="2272"/>
    </row>
    <row r="30" spans="1:41" s="3" customFormat="1" ht="75" customHeight="1" x14ac:dyDescent="0.2">
      <c r="A30" s="63"/>
      <c r="B30" s="64"/>
      <c r="C30" s="64"/>
      <c r="D30" s="84"/>
      <c r="E30" s="85"/>
      <c r="F30" s="86"/>
      <c r="G30" s="2191"/>
      <c r="H30" s="2191"/>
      <c r="I30" s="2258"/>
      <c r="J30" s="2259"/>
      <c r="K30" s="2261"/>
      <c r="L30" s="2263"/>
      <c r="M30" s="2191"/>
      <c r="N30" s="2191"/>
      <c r="O30" s="2193"/>
      <c r="P30" s="2276"/>
      <c r="Q30" s="2269"/>
      <c r="R30" s="2269"/>
      <c r="S30" s="55" t="s">
        <v>90</v>
      </c>
      <c r="T30" s="1910">
        <v>13568283</v>
      </c>
      <c r="U30" s="82">
        <v>20</v>
      </c>
      <c r="V30" s="65" t="s">
        <v>84</v>
      </c>
      <c r="W30" s="2272"/>
      <c r="X30" s="2272"/>
      <c r="Y30" s="2272"/>
      <c r="Z30" s="2272"/>
      <c r="AA30" s="2272"/>
      <c r="AB30" s="2272"/>
      <c r="AC30" s="2272"/>
      <c r="AD30" s="2272"/>
      <c r="AE30" s="2272"/>
      <c r="AF30" s="2272"/>
      <c r="AG30" s="2272"/>
      <c r="AH30" s="2272"/>
      <c r="AI30" s="2272"/>
      <c r="AJ30" s="2272"/>
      <c r="AK30" s="2272"/>
      <c r="AL30" s="2272"/>
      <c r="AM30" s="2290"/>
      <c r="AN30" s="2217"/>
      <c r="AO30" s="2272"/>
    </row>
    <row r="31" spans="1:41" s="3" customFormat="1" ht="75" customHeight="1" x14ac:dyDescent="0.2">
      <c r="A31" s="63"/>
      <c r="B31" s="64"/>
      <c r="C31" s="64"/>
      <c r="D31" s="84"/>
      <c r="E31" s="85"/>
      <c r="F31" s="86"/>
      <c r="G31" s="2191"/>
      <c r="H31" s="2191"/>
      <c r="I31" s="2258"/>
      <c r="J31" s="2259"/>
      <c r="K31" s="2261"/>
      <c r="L31" s="2263"/>
      <c r="M31" s="2191"/>
      <c r="N31" s="2191"/>
      <c r="O31" s="2193"/>
      <c r="P31" s="2276"/>
      <c r="Q31" s="2269"/>
      <c r="R31" s="2269"/>
      <c r="S31" s="55" t="s">
        <v>91</v>
      </c>
      <c r="T31" s="1910">
        <v>27555226</v>
      </c>
      <c r="U31" s="82">
        <v>20</v>
      </c>
      <c r="V31" s="65" t="s">
        <v>84</v>
      </c>
      <c r="W31" s="2272"/>
      <c r="X31" s="2272"/>
      <c r="Y31" s="2272"/>
      <c r="Z31" s="2272"/>
      <c r="AA31" s="2272"/>
      <c r="AB31" s="2272"/>
      <c r="AC31" s="2272"/>
      <c r="AD31" s="2272"/>
      <c r="AE31" s="2272"/>
      <c r="AF31" s="2272"/>
      <c r="AG31" s="2272"/>
      <c r="AH31" s="2272"/>
      <c r="AI31" s="2272"/>
      <c r="AJ31" s="2272"/>
      <c r="AK31" s="2272"/>
      <c r="AL31" s="2272"/>
      <c r="AM31" s="2290"/>
      <c r="AN31" s="2217"/>
      <c r="AO31" s="2272"/>
    </row>
    <row r="32" spans="1:41" s="3" customFormat="1" ht="51" customHeight="1" x14ac:dyDescent="0.2">
      <c r="A32" s="63"/>
      <c r="B32" s="64"/>
      <c r="C32" s="64"/>
      <c r="D32" s="84"/>
      <c r="E32" s="85"/>
      <c r="F32" s="86"/>
      <c r="G32" s="2191"/>
      <c r="H32" s="2191"/>
      <c r="I32" s="2258"/>
      <c r="J32" s="2259"/>
      <c r="K32" s="2261"/>
      <c r="L32" s="2263"/>
      <c r="M32" s="2191"/>
      <c r="N32" s="2191"/>
      <c r="O32" s="2193"/>
      <c r="P32" s="2276"/>
      <c r="Q32" s="2269"/>
      <c r="R32" s="2269"/>
      <c r="S32" s="55" t="s">
        <v>92</v>
      </c>
      <c r="T32" s="1910">
        <v>14430000</v>
      </c>
      <c r="U32" s="82">
        <v>20</v>
      </c>
      <c r="V32" s="65" t="s">
        <v>108</v>
      </c>
      <c r="W32" s="2272"/>
      <c r="X32" s="2272"/>
      <c r="Y32" s="2272"/>
      <c r="Z32" s="2272"/>
      <c r="AA32" s="2272"/>
      <c r="AB32" s="2272"/>
      <c r="AC32" s="2272"/>
      <c r="AD32" s="2272"/>
      <c r="AE32" s="2272"/>
      <c r="AF32" s="2272"/>
      <c r="AG32" s="2272"/>
      <c r="AH32" s="2272"/>
      <c r="AI32" s="2272"/>
      <c r="AJ32" s="2272"/>
      <c r="AK32" s="2272"/>
      <c r="AL32" s="2272"/>
      <c r="AM32" s="2290"/>
      <c r="AN32" s="2217"/>
      <c r="AO32" s="2272"/>
    </row>
    <row r="33" spans="1:41" s="3" customFormat="1" ht="75" customHeight="1" x14ac:dyDescent="0.2">
      <c r="A33" s="63"/>
      <c r="B33" s="64"/>
      <c r="C33" s="64"/>
      <c r="D33" s="84"/>
      <c r="E33" s="85"/>
      <c r="F33" s="86"/>
      <c r="G33" s="2191"/>
      <c r="H33" s="2191"/>
      <c r="I33" s="2258"/>
      <c r="J33" s="2259"/>
      <c r="K33" s="2261"/>
      <c r="L33" s="2263"/>
      <c r="M33" s="2191"/>
      <c r="N33" s="2191"/>
      <c r="O33" s="2193"/>
      <c r="P33" s="2276"/>
      <c r="Q33" s="2269"/>
      <c r="R33" s="2269"/>
      <c r="S33" s="55" t="s">
        <v>93</v>
      </c>
      <c r="T33" s="1910">
        <v>4200000</v>
      </c>
      <c r="U33" s="82">
        <v>20</v>
      </c>
      <c r="V33" s="65" t="s">
        <v>84</v>
      </c>
      <c r="W33" s="2272"/>
      <c r="X33" s="2272"/>
      <c r="Y33" s="2272"/>
      <c r="Z33" s="2272"/>
      <c r="AA33" s="2272"/>
      <c r="AB33" s="2272"/>
      <c r="AC33" s="2272"/>
      <c r="AD33" s="2272"/>
      <c r="AE33" s="2272"/>
      <c r="AF33" s="2272"/>
      <c r="AG33" s="2272"/>
      <c r="AH33" s="2272"/>
      <c r="AI33" s="2272"/>
      <c r="AJ33" s="2272"/>
      <c r="AK33" s="2272"/>
      <c r="AL33" s="2272"/>
      <c r="AM33" s="2290"/>
      <c r="AN33" s="2217"/>
      <c r="AO33" s="2272"/>
    </row>
    <row r="34" spans="1:41" s="3" customFormat="1" ht="74.25" customHeight="1" x14ac:dyDescent="0.2">
      <c r="A34" s="63"/>
      <c r="B34" s="64"/>
      <c r="C34" s="64"/>
      <c r="D34" s="84"/>
      <c r="E34" s="85"/>
      <c r="F34" s="86"/>
      <c r="G34" s="2191"/>
      <c r="H34" s="2191"/>
      <c r="I34" s="2258"/>
      <c r="J34" s="2259"/>
      <c r="K34" s="2261"/>
      <c r="L34" s="2263"/>
      <c r="M34" s="2191"/>
      <c r="N34" s="2191"/>
      <c r="O34" s="2193"/>
      <c r="P34" s="2276"/>
      <c r="Q34" s="2269"/>
      <c r="R34" s="2269"/>
      <c r="S34" s="55" t="s">
        <v>94</v>
      </c>
      <c r="T34" s="1910">
        <v>9387000</v>
      </c>
      <c r="U34" s="82">
        <v>20</v>
      </c>
      <c r="V34" s="65" t="s">
        <v>84</v>
      </c>
      <c r="W34" s="2272"/>
      <c r="X34" s="2272"/>
      <c r="Y34" s="2272"/>
      <c r="Z34" s="2272"/>
      <c r="AA34" s="2272"/>
      <c r="AB34" s="2272"/>
      <c r="AC34" s="2272"/>
      <c r="AD34" s="2272"/>
      <c r="AE34" s="2272"/>
      <c r="AF34" s="2272"/>
      <c r="AG34" s="2272"/>
      <c r="AH34" s="2272"/>
      <c r="AI34" s="2272"/>
      <c r="AJ34" s="2272"/>
      <c r="AK34" s="2272"/>
      <c r="AL34" s="2272"/>
      <c r="AM34" s="2290"/>
      <c r="AN34" s="2217"/>
      <c r="AO34" s="2272"/>
    </row>
    <row r="35" spans="1:41" s="3" customFormat="1" ht="42.75" customHeight="1" x14ac:dyDescent="0.2">
      <c r="A35" s="63"/>
      <c r="B35" s="64"/>
      <c r="C35" s="64"/>
      <c r="D35" s="84"/>
      <c r="E35" s="85"/>
      <c r="F35" s="86"/>
      <c r="G35" s="2257"/>
      <c r="H35" s="2257"/>
      <c r="I35" s="2258"/>
      <c r="J35" s="2259"/>
      <c r="K35" s="2262"/>
      <c r="L35" s="2263"/>
      <c r="M35" s="2257"/>
      <c r="N35" s="2257"/>
      <c r="O35" s="2274"/>
      <c r="P35" s="2277"/>
      <c r="Q35" s="2270"/>
      <c r="R35" s="2270"/>
      <c r="S35" s="55" t="s">
        <v>95</v>
      </c>
      <c r="T35" s="1910">
        <v>39500000</v>
      </c>
      <c r="U35" s="82">
        <v>20</v>
      </c>
      <c r="V35" s="65" t="s">
        <v>84</v>
      </c>
      <c r="W35" s="2273"/>
      <c r="X35" s="2273"/>
      <c r="Y35" s="2273"/>
      <c r="Z35" s="2273"/>
      <c r="AA35" s="2273"/>
      <c r="AB35" s="2273"/>
      <c r="AC35" s="2273"/>
      <c r="AD35" s="2273"/>
      <c r="AE35" s="2273"/>
      <c r="AF35" s="2273"/>
      <c r="AG35" s="2273"/>
      <c r="AH35" s="2273"/>
      <c r="AI35" s="2273"/>
      <c r="AJ35" s="2273"/>
      <c r="AK35" s="2273"/>
      <c r="AL35" s="2273"/>
      <c r="AM35" s="2291"/>
      <c r="AN35" s="2292"/>
      <c r="AO35" s="2273"/>
    </row>
    <row r="36" spans="1:41" s="3" customFormat="1" ht="43.5" customHeight="1" x14ac:dyDescent="0.2">
      <c r="A36" s="63"/>
      <c r="B36" s="64"/>
      <c r="C36" s="64"/>
      <c r="D36" s="84"/>
      <c r="E36" s="85"/>
      <c r="F36" s="86"/>
      <c r="G36" s="2281"/>
      <c r="H36" s="2180" t="s">
        <v>75</v>
      </c>
      <c r="I36" s="2258" t="s">
        <v>76</v>
      </c>
      <c r="J36" s="2259" t="s">
        <v>77</v>
      </c>
      <c r="K36" s="2260">
        <v>4</v>
      </c>
      <c r="L36" s="2284" t="s">
        <v>96</v>
      </c>
      <c r="M36" s="2190" t="s">
        <v>97</v>
      </c>
      <c r="N36" s="2285" t="s">
        <v>98</v>
      </c>
      <c r="O36" s="2287">
        <f>SUM(T36:T43)/P36</f>
        <v>1</v>
      </c>
      <c r="P36" s="2310">
        <f>SUM(T36:T43)</f>
        <v>93916667</v>
      </c>
      <c r="Q36" s="2268" t="s">
        <v>99</v>
      </c>
      <c r="R36" s="2268" t="s">
        <v>100</v>
      </c>
      <c r="S36" s="55" t="s">
        <v>101</v>
      </c>
      <c r="T36" s="1911">
        <v>18000000</v>
      </c>
      <c r="U36" s="82">
        <v>88</v>
      </c>
      <c r="V36" s="1635" t="s">
        <v>466</v>
      </c>
      <c r="W36" s="2271">
        <v>295972</v>
      </c>
      <c r="X36" s="2271">
        <v>285580</v>
      </c>
      <c r="Y36" s="2271">
        <v>135545</v>
      </c>
      <c r="Z36" s="2271">
        <v>44254</v>
      </c>
      <c r="AA36" s="2271">
        <v>309146</v>
      </c>
      <c r="AB36" s="2271">
        <v>92607</v>
      </c>
      <c r="AC36" s="2271">
        <v>2145</v>
      </c>
      <c r="AD36" s="2271">
        <v>12718</v>
      </c>
      <c r="AE36" s="2294">
        <v>26</v>
      </c>
      <c r="AF36" s="2271">
        <v>37</v>
      </c>
      <c r="AG36" s="2271"/>
      <c r="AH36" s="2271"/>
      <c r="AI36" s="2271">
        <v>44350</v>
      </c>
      <c r="AJ36" s="2271">
        <v>21944</v>
      </c>
      <c r="AK36" s="2271">
        <v>75687</v>
      </c>
      <c r="AL36" s="2271">
        <v>581552</v>
      </c>
      <c r="AM36" s="2289">
        <v>43832</v>
      </c>
      <c r="AN36" s="2216">
        <v>44195</v>
      </c>
      <c r="AO36" s="2271" t="s">
        <v>102</v>
      </c>
    </row>
    <row r="37" spans="1:41" s="3" customFormat="1" ht="43.5" customHeight="1" x14ac:dyDescent="0.2">
      <c r="A37" s="63"/>
      <c r="B37" s="64"/>
      <c r="C37" s="64"/>
      <c r="D37" s="84"/>
      <c r="E37" s="85"/>
      <c r="F37" s="86"/>
      <c r="G37" s="2282"/>
      <c r="H37" s="2180"/>
      <c r="I37" s="2258"/>
      <c r="J37" s="2259"/>
      <c r="K37" s="2261"/>
      <c r="L37" s="2284"/>
      <c r="M37" s="2191"/>
      <c r="N37" s="2286"/>
      <c r="O37" s="2288"/>
      <c r="P37" s="2311"/>
      <c r="Q37" s="2269"/>
      <c r="R37" s="2269"/>
      <c r="S37" s="55" t="s">
        <v>103</v>
      </c>
      <c r="T37" s="1911">
        <v>18000000</v>
      </c>
      <c r="U37" s="82">
        <v>88</v>
      </c>
      <c r="V37" s="1635" t="s">
        <v>466</v>
      </c>
      <c r="W37" s="2272"/>
      <c r="X37" s="2272"/>
      <c r="Y37" s="2272"/>
      <c r="Z37" s="2272"/>
      <c r="AA37" s="2272"/>
      <c r="AB37" s="2272"/>
      <c r="AC37" s="2272"/>
      <c r="AD37" s="2272"/>
      <c r="AE37" s="2295"/>
      <c r="AF37" s="2272"/>
      <c r="AG37" s="2272"/>
      <c r="AH37" s="2272"/>
      <c r="AI37" s="2272"/>
      <c r="AJ37" s="2272"/>
      <c r="AK37" s="2272"/>
      <c r="AL37" s="2272"/>
      <c r="AM37" s="2290"/>
      <c r="AN37" s="2217"/>
      <c r="AO37" s="2272"/>
    </row>
    <row r="38" spans="1:41" s="3" customFormat="1" ht="43.5" customHeight="1" x14ac:dyDescent="0.2">
      <c r="A38" s="63"/>
      <c r="B38" s="64"/>
      <c r="C38" s="64"/>
      <c r="D38" s="84"/>
      <c r="E38" s="85"/>
      <c r="F38" s="86"/>
      <c r="G38" s="2282"/>
      <c r="H38" s="2180"/>
      <c r="I38" s="2258"/>
      <c r="J38" s="2259"/>
      <c r="K38" s="2261"/>
      <c r="L38" s="2284"/>
      <c r="M38" s="2191"/>
      <c r="N38" s="2286"/>
      <c r="O38" s="2288"/>
      <c r="P38" s="2311"/>
      <c r="Q38" s="2269"/>
      <c r="R38" s="2269"/>
      <c r="S38" s="55" t="s">
        <v>104</v>
      </c>
      <c r="T38" s="1911">
        <v>0</v>
      </c>
      <c r="U38" s="82"/>
      <c r="V38" s="57"/>
      <c r="W38" s="2272"/>
      <c r="X38" s="2272"/>
      <c r="Y38" s="2272"/>
      <c r="Z38" s="2272"/>
      <c r="AA38" s="2272"/>
      <c r="AB38" s="2272"/>
      <c r="AC38" s="2272"/>
      <c r="AD38" s="2272"/>
      <c r="AE38" s="2295"/>
      <c r="AF38" s="2272"/>
      <c r="AG38" s="2272"/>
      <c r="AH38" s="2272"/>
      <c r="AI38" s="2272"/>
      <c r="AJ38" s="2272"/>
      <c r="AK38" s="2272"/>
      <c r="AL38" s="2272"/>
      <c r="AM38" s="2290"/>
      <c r="AN38" s="2217"/>
      <c r="AO38" s="2272"/>
    </row>
    <row r="39" spans="1:41" s="3" customFormat="1" ht="43.5" customHeight="1" x14ac:dyDescent="0.2">
      <c r="A39" s="63"/>
      <c r="B39" s="64"/>
      <c r="C39" s="64"/>
      <c r="D39" s="84"/>
      <c r="E39" s="85"/>
      <c r="F39" s="86"/>
      <c r="G39" s="2282"/>
      <c r="H39" s="2180"/>
      <c r="I39" s="2258"/>
      <c r="J39" s="2259"/>
      <c r="K39" s="2261"/>
      <c r="L39" s="2284"/>
      <c r="M39" s="2191"/>
      <c r="N39" s="2286"/>
      <c r="O39" s="2288"/>
      <c r="P39" s="2311"/>
      <c r="Q39" s="2269"/>
      <c r="R39" s="2269"/>
      <c r="S39" s="89" t="s">
        <v>105</v>
      </c>
      <c r="T39" s="1911">
        <v>0</v>
      </c>
      <c r="U39" s="82"/>
      <c r="V39" s="57"/>
      <c r="W39" s="2272"/>
      <c r="X39" s="2272"/>
      <c r="Y39" s="2272"/>
      <c r="Z39" s="2272"/>
      <c r="AA39" s="2272"/>
      <c r="AB39" s="2272"/>
      <c r="AC39" s="2272"/>
      <c r="AD39" s="2272"/>
      <c r="AE39" s="2295"/>
      <c r="AF39" s="2272"/>
      <c r="AG39" s="2272"/>
      <c r="AH39" s="2272"/>
      <c r="AI39" s="2272"/>
      <c r="AJ39" s="2272"/>
      <c r="AK39" s="2272"/>
      <c r="AL39" s="2272"/>
      <c r="AM39" s="2290"/>
      <c r="AN39" s="2217"/>
      <c r="AO39" s="2272"/>
    </row>
    <row r="40" spans="1:41" s="3" customFormat="1" ht="43.5" customHeight="1" x14ac:dyDescent="0.2">
      <c r="A40" s="63"/>
      <c r="B40" s="64"/>
      <c r="C40" s="64"/>
      <c r="D40" s="84"/>
      <c r="E40" s="85"/>
      <c r="F40" s="86"/>
      <c r="G40" s="2282"/>
      <c r="H40" s="2180"/>
      <c r="I40" s="2258"/>
      <c r="J40" s="2259"/>
      <c r="K40" s="2261"/>
      <c r="L40" s="2284"/>
      <c r="M40" s="2191"/>
      <c r="N40" s="2286"/>
      <c r="O40" s="2288"/>
      <c r="P40" s="2311"/>
      <c r="Q40" s="2269"/>
      <c r="R40" s="2312"/>
      <c r="S40" s="2293" t="s">
        <v>106</v>
      </c>
      <c r="T40" s="1912">
        <v>6450000</v>
      </c>
      <c r="U40" s="82">
        <v>20</v>
      </c>
      <c r="V40" s="65" t="s">
        <v>70</v>
      </c>
      <c r="W40" s="2272"/>
      <c r="X40" s="2272"/>
      <c r="Y40" s="2272"/>
      <c r="Z40" s="2272"/>
      <c r="AA40" s="2272"/>
      <c r="AB40" s="2272"/>
      <c r="AC40" s="2272"/>
      <c r="AD40" s="2272"/>
      <c r="AE40" s="2295"/>
      <c r="AF40" s="2272"/>
      <c r="AG40" s="2272"/>
      <c r="AH40" s="2272"/>
      <c r="AI40" s="2272"/>
      <c r="AJ40" s="2272"/>
      <c r="AK40" s="2272"/>
      <c r="AL40" s="2272"/>
      <c r="AM40" s="2290"/>
      <c r="AN40" s="2217"/>
      <c r="AO40" s="2272"/>
    </row>
    <row r="41" spans="1:41" s="3" customFormat="1" ht="43.5" customHeight="1" x14ac:dyDescent="0.2">
      <c r="A41" s="63"/>
      <c r="B41" s="64"/>
      <c r="C41" s="64"/>
      <c r="D41" s="84"/>
      <c r="E41" s="85"/>
      <c r="F41" s="86"/>
      <c r="G41" s="2282"/>
      <c r="H41" s="2180"/>
      <c r="I41" s="2258"/>
      <c r="J41" s="2259"/>
      <c r="K41" s="2261"/>
      <c r="L41" s="2284"/>
      <c r="M41" s="2191"/>
      <c r="N41" s="2286"/>
      <c r="O41" s="2288"/>
      <c r="P41" s="2311"/>
      <c r="Q41" s="2269"/>
      <c r="R41" s="2312"/>
      <c r="S41" s="2293"/>
      <c r="T41" s="1912">
        <v>33250000</v>
      </c>
      <c r="U41" s="82">
        <v>88</v>
      </c>
      <c r="V41" s="1635" t="s">
        <v>466</v>
      </c>
      <c r="W41" s="2272"/>
      <c r="X41" s="2272"/>
      <c r="Y41" s="2272"/>
      <c r="Z41" s="2272"/>
      <c r="AA41" s="2272"/>
      <c r="AB41" s="2272"/>
      <c r="AC41" s="2272"/>
      <c r="AD41" s="2272"/>
      <c r="AE41" s="2295"/>
      <c r="AF41" s="2272"/>
      <c r="AG41" s="2272"/>
      <c r="AH41" s="2272"/>
      <c r="AI41" s="2272"/>
      <c r="AJ41" s="2272"/>
      <c r="AK41" s="2272"/>
      <c r="AL41" s="2272"/>
      <c r="AM41" s="2290"/>
      <c r="AN41" s="2217"/>
      <c r="AO41" s="2272"/>
    </row>
    <row r="42" spans="1:41" s="3" customFormat="1" ht="43.5" customHeight="1" x14ac:dyDescent="0.2">
      <c r="A42" s="63"/>
      <c r="B42" s="64"/>
      <c r="C42" s="64"/>
      <c r="D42" s="84"/>
      <c r="E42" s="85"/>
      <c r="F42" s="86"/>
      <c r="G42" s="2282"/>
      <c r="H42" s="2180"/>
      <c r="I42" s="2258"/>
      <c r="J42" s="2259"/>
      <c r="K42" s="2261"/>
      <c r="L42" s="2284"/>
      <c r="M42" s="2191"/>
      <c r="N42" s="2286"/>
      <c r="O42" s="2288"/>
      <c r="P42" s="2311"/>
      <c r="Q42" s="2269"/>
      <c r="R42" s="2312"/>
      <c r="S42" s="2293" t="s">
        <v>107</v>
      </c>
      <c r="T42" s="1912">
        <v>10750000</v>
      </c>
      <c r="U42" s="82">
        <v>88</v>
      </c>
      <c r="V42" s="1635" t="s">
        <v>466</v>
      </c>
      <c r="W42" s="2272"/>
      <c r="X42" s="2272"/>
      <c r="Y42" s="2272"/>
      <c r="Z42" s="2272"/>
      <c r="AA42" s="2272"/>
      <c r="AB42" s="2272"/>
      <c r="AC42" s="2272"/>
      <c r="AD42" s="2272"/>
      <c r="AE42" s="2295"/>
      <c r="AF42" s="2272"/>
      <c r="AG42" s="2272"/>
      <c r="AH42" s="2272"/>
      <c r="AI42" s="2272"/>
      <c r="AJ42" s="2272"/>
      <c r="AK42" s="2272"/>
      <c r="AL42" s="2272"/>
      <c r="AM42" s="2290"/>
      <c r="AN42" s="2217"/>
      <c r="AO42" s="2272"/>
    </row>
    <row r="43" spans="1:41" s="3" customFormat="1" ht="43.5" customHeight="1" x14ac:dyDescent="0.2">
      <c r="A43" s="63"/>
      <c r="B43" s="64"/>
      <c r="C43" s="64"/>
      <c r="D43" s="84"/>
      <c r="E43" s="85"/>
      <c r="F43" s="86"/>
      <c r="G43" s="2283"/>
      <c r="H43" s="2180"/>
      <c r="I43" s="2258"/>
      <c r="J43" s="2259"/>
      <c r="K43" s="2262"/>
      <c r="L43" s="2284"/>
      <c r="M43" s="2191"/>
      <c r="N43" s="2286"/>
      <c r="O43" s="2288"/>
      <c r="P43" s="2311"/>
      <c r="Q43" s="2269"/>
      <c r="R43" s="2312"/>
      <c r="S43" s="2293"/>
      <c r="T43" s="1912">
        <v>7466667</v>
      </c>
      <c r="U43" s="82">
        <v>20</v>
      </c>
      <c r="V43" s="65" t="s">
        <v>108</v>
      </c>
      <c r="W43" s="2273"/>
      <c r="X43" s="2273"/>
      <c r="Y43" s="2273"/>
      <c r="Z43" s="2273"/>
      <c r="AA43" s="2273"/>
      <c r="AB43" s="2273"/>
      <c r="AC43" s="2273"/>
      <c r="AD43" s="2273"/>
      <c r="AE43" s="2296"/>
      <c r="AF43" s="2273"/>
      <c r="AG43" s="2273"/>
      <c r="AH43" s="2273"/>
      <c r="AI43" s="2273"/>
      <c r="AJ43" s="2273"/>
      <c r="AK43" s="2273"/>
      <c r="AL43" s="2273"/>
      <c r="AM43" s="2291"/>
      <c r="AN43" s="2292"/>
      <c r="AO43" s="2273"/>
    </row>
    <row r="44" spans="1:41" s="3" customFormat="1" ht="64.5" customHeight="1" x14ac:dyDescent="0.2">
      <c r="A44" s="63"/>
      <c r="B44" s="64"/>
      <c r="C44" s="64"/>
      <c r="D44" s="84"/>
      <c r="E44" s="85"/>
      <c r="F44" s="86"/>
      <c r="G44" s="2297" t="s">
        <v>52</v>
      </c>
      <c r="H44" s="2300" t="s">
        <v>109</v>
      </c>
      <c r="I44" s="2302" t="s">
        <v>110</v>
      </c>
      <c r="J44" s="2304" t="s">
        <v>111</v>
      </c>
      <c r="K44" s="2306">
        <v>1</v>
      </c>
      <c r="L44" s="2308" t="s">
        <v>112</v>
      </c>
      <c r="M44" s="2190" t="s">
        <v>113</v>
      </c>
      <c r="N44" s="2285" t="s">
        <v>114</v>
      </c>
      <c r="O44" s="2287">
        <f>SUM(T44:T51)/P44</f>
        <v>1</v>
      </c>
      <c r="P44" s="2310">
        <f>SUM(T44:T51)</f>
        <v>24906666</v>
      </c>
      <c r="Q44" s="2268" t="s">
        <v>115</v>
      </c>
      <c r="R44" s="2268" t="s">
        <v>116</v>
      </c>
      <c r="S44" s="2328" t="s">
        <v>117</v>
      </c>
      <c r="T44" s="1913">
        <v>1974000</v>
      </c>
      <c r="U44" s="82">
        <v>20</v>
      </c>
      <c r="V44" s="65" t="s">
        <v>108</v>
      </c>
      <c r="W44" s="2271">
        <v>295972</v>
      </c>
      <c r="X44" s="2271">
        <v>285580</v>
      </c>
      <c r="Y44" s="2271">
        <v>135545</v>
      </c>
      <c r="Z44" s="2271">
        <v>44254</v>
      </c>
      <c r="AA44" s="2271">
        <v>309146</v>
      </c>
      <c r="AB44" s="2271">
        <v>92607</v>
      </c>
      <c r="AC44" s="2271">
        <v>2145</v>
      </c>
      <c r="AD44" s="2271">
        <v>12718</v>
      </c>
      <c r="AE44" s="2271">
        <v>26</v>
      </c>
      <c r="AF44" s="2271">
        <v>37</v>
      </c>
      <c r="AG44" s="2271">
        <v>0</v>
      </c>
      <c r="AH44" s="2294">
        <v>0</v>
      </c>
      <c r="AI44" s="2271">
        <v>44350</v>
      </c>
      <c r="AJ44" s="2271">
        <v>21944</v>
      </c>
      <c r="AK44" s="2271">
        <v>75687</v>
      </c>
      <c r="AL44" s="2271">
        <v>581552</v>
      </c>
      <c r="AM44" s="2289">
        <v>43832</v>
      </c>
      <c r="AN44" s="2216">
        <v>44195</v>
      </c>
      <c r="AO44" s="2271" t="s">
        <v>118</v>
      </c>
    </row>
    <row r="45" spans="1:41" s="3" customFormat="1" ht="64.5" customHeight="1" x14ac:dyDescent="0.2">
      <c r="A45" s="63"/>
      <c r="B45" s="64"/>
      <c r="C45" s="64"/>
      <c r="D45" s="84"/>
      <c r="E45" s="85"/>
      <c r="F45" s="86"/>
      <c r="G45" s="2298"/>
      <c r="H45" s="2301"/>
      <c r="I45" s="2303"/>
      <c r="J45" s="2305"/>
      <c r="K45" s="2306"/>
      <c r="L45" s="2308"/>
      <c r="M45" s="2191"/>
      <c r="N45" s="2286"/>
      <c r="O45" s="2288"/>
      <c r="P45" s="2311"/>
      <c r="Q45" s="2269"/>
      <c r="R45" s="2269"/>
      <c r="S45" s="2318"/>
      <c r="T45" s="1913">
        <v>9000000</v>
      </c>
      <c r="U45" s="82">
        <v>88</v>
      </c>
      <c r="V45" s="1635" t="s">
        <v>466</v>
      </c>
      <c r="W45" s="2272"/>
      <c r="X45" s="2272"/>
      <c r="Y45" s="2272"/>
      <c r="Z45" s="2272"/>
      <c r="AA45" s="2272"/>
      <c r="AB45" s="2272"/>
      <c r="AC45" s="2272"/>
      <c r="AD45" s="2272"/>
      <c r="AE45" s="2272"/>
      <c r="AF45" s="2272"/>
      <c r="AG45" s="2272"/>
      <c r="AH45" s="2295"/>
      <c r="AI45" s="2272"/>
      <c r="AJ45" s="2272"/>
      <c r="AK45" s="2272"/>
      <c r="AL45" s="2272"/>
      <c r="AM45" s="2290"/>
      <c r="AN45" s="2217"/>
      <c r="AO45" s="2272"/>
    </row>
    <row r="46" spans="1:41" s="3" customFormat="1" ht="64.5" customHeight="1" x14ac:dyDescent="0.2">
      <c r="A46" s="63"/>
      <c r="B46" s="64"/>
      <c r="C46" s="64"/>
      <c r="D46" s="84"/>
      <c r="E46" s="85"/>
      <c r="F46" s="86"/>
      <c r="G46" s="2298"/>
      <c r="H46" s="2301"/>
      <c r="I46" s="2303"/>
      <c r="J46" s="2305"/>
      <c r="K46" s="2306"/>
      <c r="L46" s="2308"/>
      <c r="M46" s="2191"/>
      <c r="N46" s="2286"/>
      <c r="O46" s="2288"/>
      <c r="P46" s="2311"/>
      <c r="Q46" s="2269"/>
      <c r="R46" s="2269"/>
      <c r="S46" s="2317" t="s">
        <v>119</v>
      </c>
      <c r="T46" s="1913">
        <v>3948000</v>
      </c>
      <c r="U46" s="82">
        <v>20</v>
      </c>
      <c r="V46" s="65" t="s">
        <v>108</v>
      </c>
      <c r="W46" s="2272"/>
      <c r="X46" s="2272"/>
      <c r="Y46" s="2272"/>
      <c r="Z46" s="2272"/>
      <c r="AA46" s="2272"/>
      <c r="AB46" s="2272"/>
      <c r="AC46" s="2272"/>
      <c r="AD46" s="2272"/>
      <c r="AE46" s="2272"/>
      <c r="AF46" s="2272"/>
      <c r="AG46" s="2272"/>
      <c r="AH46" s="2295"/>
      <c r="AI46" s="2272"/>
      <c r="AJ46" s="2272"/>
      <c r="AK46" s="2272"/>
      <c r="AL46" s="2272"/>
      <c r="AM46" s="2290"/>
      <c r="AN46" s="2217"/>
      <c r="AO46" s="2272"/>
    </row>
    <row r="47" spans="1:41" s="3" customFormat="1" ht="64.5" customHeight="1" x14ac:dyDescent="0.2">
      <c r="A47" s="63"/>
      <c r="B47" s="64"/>
      <c r="C47" s="64"/>
      <c r="D47" s="84"/>
      <c r="E47" s="85"/>
      <c r="F47" s="86"/>
      <c r="G47" s="2298"/>
      <c r="H47" s="2301"/>
      <c r="I47" s="2303"/>
      <c r="J47" s="2305"/>
      <c r="K47" s="2306"/>
      <c r="L47" s="2308"/>
      <c r="M47" s="2191"/>
      <c r="N47" s="2286"/>
      <c r="O47" s="2288"/>
      <c r="P47" s="2311"/>
      <c r="Q47" s="2269"/>
      <c r="R47" s="2269"/>
      <c r="S47" s="2318"/>
      <c r="T47" s="1913">
        <v>9000000</v>
      </c>
      <c r="U47" s="82">
        <v>88</v>
      </c>
      <c r="V47" s="1635" t="s">
        <v>466</v>
      </c>
      <c r="W47" s="2272"/>
      <c r="X47" s="2272"/>
      <c r="Y47" s="2272"/>
      <c r="Z47" s="2272"/>
      <c r="AA47" s="2272"/>
      <c r="AB47" s="2272"/>
      <c r="AC47" s="2272"/>
      <c r="AD47" s="2272"/>
      <c r="AE47" s="2272"/>
      <c r="AF47" s="2272"/>
      <c r="AG47" s="2272"/>
      <c r="AH47" s="2295"/>
      <c r="AI47" s="2272"/>
      <c r="AJ47" s="2272"/>
      <c r="AK47" s="2272"/>
      <c r="AL47" s="2272"/>
      <c r="AM47" s="2290"/>
      <c r="AN47" s="2217"/>
      <c r="AO47" s="2272"/>
    </row>
    <row r="48" spans="1:41" s="3" customFormat="1" ht="64.5" customHeight="1" x14ac:dyDescent="0.2">
      <c r="A48" s="63"/>
      <c r="B48" s="64"/>
      <c r="C48" s="64"/>
      <c r="D48" s="84"/>
      <c r="E48" s="85"/>
      <c r="F48" s="86"/>
      <c r="G48" s="2298"/>
      <c r="H48" s="2301"/>
      <c r="I48" s="2303"/>
      <c r="J48" s="2305"/>
      <c r="K48" s="2306"/>
      <c r="L48" s="2308"/>
      <c r="M48" s="2191"/>
      <c r="N48" s="2286"/>
      <c r="O48" s="2288"/>
      <c r="P48" s="2311"/>
      <c r="Q48" s="2269"/>
      <c r="R48" s="2269"/>
      <c r="S48" s="55" t="s">
        <v>120</v>
      </c>
      <c r="T48" s="1913">
        <v>0</v>
      </c>
      <c r="U48" s="82">
        <v>88</v>
      </c>
      <c r="V48" s="1635" t="s">
        <v>466</v>
      </c>
      <c r="W48" s="2272"/>
      <c r="X48" s="2272"/>
      <c r="Y48" s="2272"/>
      <c r="Z48" s="2272"/>
      <c r="AA48" s="2272"/>
      <c r="AB48" s="2272"/>
      <c r="AC48" s="2272"/>
      <c r="AD48" s="2272"/>
      <c r="AE48" s="2272"/>
      <c r="AF48" s="2272"/>
      <c r="AG48" s="2272"/>
      <c r="AH48" s="2295"/>
      <c r="AI48" s="2272"/>
      <c r="AJ48" s="2272"/>
      <c r="AK48" s="2272"/>
      <c r="AL48" s="2272"/>
      <c r="AM48" s="2290"/>
      <c r="AN48" s="2217"/>
      <c r="AO48" s="2272"/>
    </row>
    <row r="49" spans="1:41" s="3" customFormat="1" ht="64.5" customHeight="1" x14ac:dyDescent="0.2">
      <c r="A49" s="63"/>
      <c r="B49" s="64"/>
      <c r="C49" s="64"/>
      <c r="D49" s="84"/>
      <c r="E49" s="85"/>
      <c r="F49" s="86"/>
      <c r="G49" s="2298"/>
      <c r="H49" s="2301"/>
      <c r="I49" s="2303"/>
      <c r="J49" s="2305"/>
      <c r="K49" s="2306"/>
      <c r="L49" s="2308"/>
      <c r="M49" s="2191"/>
      <c r="N49" s="2286"/>
      <c r="O49" s="2288"/>
      <c r="P49" s="2311"/>
      <c r="Q49" s="2269"/>
      <c r="R49" s="2269"/>
      <c r="S49" s="55" t="s">
        <v>121</v>
      </c>
      <c r="T49" s="1913">
        <v>0</v>
      </c>
      <c r="U49" s="82">
        <v>88</v>
      </c>
      <c r="V49" s="1635" t="s">
        <v>466</v>
      </c>
      <c r="W49" s="2272"/>
      <c r="X49" s="2272"/>
      <c r="Y49" s="2272"/>
      <c r="Z49" s="2272"/>
      <c r="AA49" s="2272"/>
      <c r="AB49" s="2272"/>
      <c r="AC49" s="2272"/>
      <c r="AD49" s="2272"/>
      <c r="AE49" s="2272"/>
      <c r="AF49" s="2272"/>
      <c r="AG49" s="2272"/>
      <c r="AH49" s="2295"/>
      <c r="AI49" s="2272"/>
      <c r="AJ49" s="2272"/>
      <c r="AK49" s="2272"/>
      <c r="AL49" s="2272"/>
      <c r="AM49" s="2290"/>
      <c r="AN49" s="2217"/>
      <c r="AO49" s="2272"/>
    </row>
    <row r="50" spans="1:41" s="3" customFormat="1" ht="64.5" customHeight="1" x14ac:dyDescent="0.2">
      <c r="A50" s="63"/>
      <c r="B50" s="64"/>
      <c r="C50" s="64"/>
      <c r="D50" s="84"/>
      <c r="E50" s="85"/>
      <c r="F50" s="86"/>
      <c r="G50" s="2298"/>
      <c r="H50" s="2301"/>
      <c r="I50" s="2303"/>
      <c r="J50" s="2305"/>
      <c r="K50" s="2306"/>
      <c r="L50" s="2308"/>
      <c r="M50" s="2191"/>
      <c r="N50" s="2286"/>
      <c r="O50" s="2288"/>
      <c r="P50" s="2311"/>
      <c r="Q50" s="2269"/>
      <c r="R50" s="2269"/>
      <c r="S50" s="55" t="s">
        <v>122</v>
      </c>
      <c r="T50" s="1914">
        <v>0</v>
      </c>
      <c r="U50" s="82">
        <v>88</v>
      </c>
      <c r="V50" s="1635" t="s">
        <v>466</v>
      </c>
      <c r="W50" s="2272"/>
      <c r="X50" s="2272"/>
      <c r="Y50" s="2272"/>
      <c r="Z50" s="2272"/>
      <c r="AA50" s="2272"/>
      <c r="AB50" s="2272"/>
      <c r="AC50" s="2272"/>
      <c r="AD50" s="2272"/>
      <c r="AE50" s="2272"/>
      <c r="AF50" s="2272"/>
      <c r="AG50" s="2272"/>
      <c r="AH50" s="2295"/>
      <c r="AI50" s="2272"/>
      <c r="AJ50" s="2272"/>
      <c r="AK50" s="2272"/>
      <c r="AL50" s="2272"/>
      <c r="AM50" s="2290"/>
      <c r="AN50" s="2217"/>
      <c r="AO50" s="2272"/>
    </row>
    <row r="51" spans="1:41" s="3" customFormat="1" ht="64.5" customHeight="1" x14ac:dyDescent="0.2">
      <c r="A51" s="63"/>
      <c r="B51" s="64"/>
      <c r="C51" s="64"/>
      <c r="D51" s="84"/>
      <c r="E51" s="85"/>
      <c r="F51" s="86"/>
      <c r="G51" s="2299"/>
      <c r="H51" s="2301"/>
      <c r="I51" s="2303"/>
      <c r="J51" s="2305"/>
      <c r="K51" s="2307"/>
      <c r="L51" s="2309"/>
      <c r="M51" s="2257"/>
      <c r="N51" s="2313"/>
      <c r="O51" s="2314"/>
      <c r="P51" s="2315"/>
      <c r="Q51" s="2316"/>
      <c r="R51" s="2316"/>
      <c r="S51" s="91" t="s">
        <v>123</v>
      </c>
      <c r="T51" s="1915">
        <v>984666</v>
      </c>
      <c r="U51" s="82">
        <v>20</v>
      </c>
      <c r="V51" s="65" t="s">
        <v>70</v>
      </c>
      <c r="W51" s="2273"/>
      <c r="X51" s="2273"/>
      <c r="Y51" s="2273"/>
      <c r="Z51" s="2273"/>
      <c r="AA51" s="2273"/>
      <c r="AB51" s="2273"/>
      <c r="AC51" s="2273"/>
      <c r="AD51" s="2273"/>
      <c r="AE51" s="2273"/>
      <c r="AF51" s="2273"/>
      <c r="AG51" s="2273"/>
      <c r="AH51" s="2296"/>
      <c r="AI51" s="2273"/>
      <c r="AJ51" s="2273"/>
      <c r="AK51" s="2273"/>
      <c r="AL51" s="2273"/>
      <c r="AM51" s="2291"/>
      <c r="AN51" s="2292"/>
      <c r="AO51" s="2273"/>
    </row>
    <row r="52" spans="1:41" s="3" customFormat="1" ht="96.75" customHeight="1" x14ac:dyDescent="0.2">
      <c r="A52" s="63"/>
      <c r="B52" s="64"/>
      <c r="C52" s="64"/>
      <c r="D52" s="84"/>
      <c r="E52" s="85"/>
      <c r="F52" s="86"/>
      <c r="G52" s="2297" t="s">
        <v>52</v>
      </c>
      <c r="H52" s="2206" t="s">
        <v>124</v>
      </c>
      <c r="I52" s="2320" t="s">
        <v>125</v>
      </c>
      <c r="J52" s="2208" t="s">
        <v>126</v>
      </c>
      <c r="K52" s="2323">
        <v>1</v>
      </c>
      <c r="L52" s="2324" t="s">
        <v>127</v>
      </c>
      <c r="M52" s="2325" t="s">
        <v>128</v>
      </c>
      <c r="N52" s="2208" t="s">
        <v>129</v>
      </c>
      <c r="O52" s="2192">
        <f>SUM(T52:T69)/P52</f>
        <v>1</v>
      </c>
      <c r="P52" s="2329">
        <f>SUM(T52:T69)</f>
        <v>148786666</v>
      </c>
      <c r="Q52" s="2208" t="s">
        <v>130</v>
      </c>
      <c r="R52" s="2208" t="s">
        <v>131</v>
      </c>
      <c r="S52" s="92" t="s">
        <v>132</v>
      </c>
      <c r="T52" s="1915">
        <v>12000000</v>
      </c>
      <c r="U52" s="82">
        <v>88</v>
      </c>
      <c r="V52" s="1635" t="s">
        <v>466</v>
      </c>
      <c r="W52" s="2271">
        <v>295972</v>
      </c>
      <c r="X52" s="2271">
        <v>285580</v>
      </c>
      <c r="Y52" s="2271">
        <v>135545</v>
      </c>
      <c r="Z52" s="2271">
        <v>44254</v>
      </c>
      <c r="AA52" s="2271">
        <v>309146</v>
      </c>
      <c r="AB52" s="2271">
        <v>92607</v>
      </c>
      <c r="AC52" s="2271">
        <v>2145</v>
      </c>
      <c r="AD52" s="2271">
        <v>12718</v>
      </c>
      <c r="AE52" s="2271">
        <v>26</v>
      </c>
      <c r="AF52" s="2271">
        <v>37</v>
      </c>
      <c r="AG52" s="2271">
        <v>0</v>
      </c>
      <c r="AH52" s="2271">
        <v>0</v>
      </c>
      <c r="AI52" s="2271">
        <v>44350</v>
      </c>
      <c r="AJ52" s="2271">
        <v>21944</v>
      </c>
      <c r="AK52" s="2271">
        <v>75687</v>
      </c>
      <c r="AL52" s="2271">
        <v>581552</v>
      </c>
      <c r="AM52" s="2289">
        <v>43832</v>
      </c>
      <c r="AN52" s="2216">
        <v>44195</v>
      </c>
      <c r="AO52" s="2271" t="s">
        <v>133</v>
      </c>
    </row>
    <row r="53" spans="1:41" s="3" customFormat="1" ht="70.5" customHeight="1" x14ac:dyDescent="0.2">
      <c r="A53" s="63"/>
      <c r="B53" s="64"/>
      <c r="C53" s="64"/>
      <c r="D53" s="84"/>
      <c r="E53" s="85"/>
      <c r="F53" s="86"/>
      <c r="G53" s="2298"/>
      <c r="H53" s="2206"/>
      <c r="I53" s="2320"/>
      <c r="J53" s="2208"/>
      <c r="K53" s="2323"/>
      <c r="L53" s="2324"/>
      <c r="M53" s="2326"/>
      <c r="N53" s="2208"/>
      <c r="O53" s="2193"/>
      <c r="P53" s="2330"/>
      <c r="Q53" s="2208"/>
      <c r="R53" s="2208"/>
      <c r="S53" s="2332" t="s">
        <v>134</v>
      </c>
      <c r="T53" s="1915">
        <v>7350000</v>
      </c>
      <c r="U53" s="82">
        <v>20</v>
      </c>
      <c r="V53" s="65" t="s">
        <v>70</v>
      </c>
      <c r="W53" s="2272"/>
      <c r="X53" s="2272"/>
      <c r="Y53" s="2272"/>
      <c r="Z53" s="2272"/>
      <c r="AA53" s="2272"/>
      <c r="AB53" s="2272"/>
      <c r="AC53" s="2272"/>
      <c r="AD53" s="2272"/>
      <c r="AE53" s="2272"/>
      <c r="AF53" s="2272"/>
      <c r="AG53" s="2272"/>
      <c r="AH53" s="2272"/>
      <c r="AI53" s="2272"/>
      <c r="AJ53" s="2272"/>
      <c r="AK53" s="2272"/>
      <c r="AL53" s="2272"/>
      <c r="AM53" s="2290"/>
      <c r="AN53" s="2217"/>
      <c r="AO53" s="2272"/>
    </row>
    <row r="54" spans="1:41" s="3" customFormat="1" ht="70.5" customHeight="1" x14ac:dyDescent="0.2">
      <c r="A54" s="63"/>
      <c r="B54" s="64"/>
      <c r="C54" s="64"/>
      <c r="D54" s="84"/>
      <c r="E54" s="85"/>
      <c r="F54" s="86"/>
      <c r="G54" s="2298"/>
      <c r="H54" s="2206"/>
      <c r="I54" s="2247"/>
      <c r="J54" s="2208"/>
      <c r="K54" s="2323"/>
      <c r="L54" s="2324"/>
      <c r="M54" s="2326"/>
      <c r="N54" s="2208"/>
      <c r="O54" s="2193"/>
      <c r="P54" s="2330"/>
      <c r="Q54" s="2208"/>
      <c r="R54" s="2208"/>
      <c r="S54" s="2333"/>
      <c r="T54" s="1916">
        <f>15750000+1500000</f>
        <v>17250000</v>
      </c>
      <c r="U54" s="82">
        <v>88</v>
      </c>
      <c r="V54" s="1635" t="s">
        <v>466</v>
      </c>
      <c r="W54" s="2272"/>
      <c r="X54" s="2272"/>
      <c r="Y54" s="2272"/>
      <c r="Z54" s="2272"/>
      <c r="AA54" s="2272"/>
      <c r="AB54" s="2272"/>
      <c r="AC54" s="2272"/>
      <c r="AD54" s="2272"/>
      <c r="AE54" s="2272"/>
      <c r="AF54" s="2272"/>
      <c r="AG54" s="2272"/>
      <c r="AH54" s="2272"/>
      <c r="AI54" s="2272"/>
      <c r="AJ54" s="2272"/>
      <c r="AK54" s="2272"/>
      <c r="AL54" s="2272"/>
      <c r="AM54" s="2290"/>
      <c r="AN54" s="2217"/>
      <c r="AO54" s="2272"/>
    </row>
    <row r="55" spans="1:41" s="3" customFormat="1" ht="83.25" customHeight="1" x14ac:dyDescent="0.2">
      <c r="A55" s="63"/>
      <c r="B55" s="64"/>
      <c r="C55" s="64"/>
      <c r="D55" s="84"/>
      <c r="E55" s="85"/>
      <c r="F55" s="86"/>
      <c r="G55" s="2298"/>
      <c r="H55" s="2206"/>
      <c r="I55" s="2247"/>
      <c r="J55" s="2208"/>
      <c r="K55" s="2323"/>
      <c r="L55" s="2324"/>
      <c r="M55" s="2326"/>
      <c r="N55" s="2208"/>
      <c r="O55" s="2193"/>
      <c r="P55" s="2330"/>
      <c r="Q55" s="2208"/>
      <c r="R55" s="2208"/>
      <c r="S55" s="2334" t="s">
        <v>135</v>
      </c>
      <c r="T55" s="1915">
        <v>23400000</v>
      </c>
      <c r="U55" s="82">
        <v>20</v>
      </c>
      <c r="V55" s="65" t="s">
        <v>70</v>
      </c>
      <c r="W55" s="2272"/>
      <c r="X55" s="2272"/>
      <c r="Y55" s="2272"/>
      <c r="Z55" s="2272"/>
      <c r="AA55" s="2272"/>
      <c r="AB55" s="2272"/>
      <c r="AC55" s="2272"/>
      <c r="AD55" s="2272"/>
      <c r="AE55" s="2272"/>
      <c r="AF55" s="2272"/>
      <c r="AG55" s="2272"/>
      <c r="AH55" s="2272"/>
      <c r="AI55" s="2272"/>
      <c r="AJ55" s="2272"/>
      <c r="AK55" s="2272"/>
      <c r="AL55" s="2272"/>
      <c r="AM55" s="2290"/>
      <c r="AN55" s="2217"/>
      <c r="AO55" s="2272"/>
    </row>
    <row r="56" spans="1:41" s="3" customFormat="1" ht="83.25" customHeight="1" x14ac:dyDescent="0.2">
      <c r="A56" s="63"/>
      <c r="B56" s="64"/>
      <c r="C56" s="64"/>
      <c r="D56" s="84"/>
      <c r="E56" s="85"/>
      <c r="F56" s="86"/>
      <c r="G56" s="2298"/>
      <c r="H56" s="2206"/>
      <c r="I56" s="2247"/>
      <c r="J56" s="2208"/>
      <c r="K56" s="2323"/>
      <c r="L56" s="2324"/>
      <c r="M56" s="2326"/>
      <c r="N56" s="2208"/>
      <c r="O56" s="2193"/>
      <c r="P56" s="2330"/>
      <c r="Q56" s="2208"/>
      <c r="R56" s="2208"/>
      <c r="S56" s="2335"/>
      <c r="T56" s="1915">
        <v>18950000</v>
      </c>
      <c r="U56" s="82">
        <v>88</v>
      </c>
      <c r="V56" s="1635" t="s">
        <v>466</v>
      </c>
      <c r="W56" s="2272"/>
      <c r="X56" s="2272"/>
      <c r="Y56" s="2272"/>
      <c r="Z56" s="2272"/>
      <c r="AA56" s="2272"/>
      <c r="AB56" s="2272"/>
      <c r="AC56" s="2272"/>
      <c r="AD56" s="2272"/>
      <c r="AE56" s="2272"/>
      <c r="AF56" s="2272"/>
      <c r="AG56" s="2272"/>
      <c r="AH56" s="2272"/>
      <c r="AI56" s="2272"/>
      <c r="AJ56" s="2272"/>
      <c r="AK56" s="2272"/>
      <c r="AL56" s="2272"/>
      <c r="AM56" s="2290"/>
      <c r="AN56" s="2217"/>
      <c r="AO56" s="2272"/>
    </row>
    <row r="57" spans="1:41" s="3" customFormat="1" ht="57.75" customHeight="1" x14ac:dyDescent="0.2">
      <c r="A57" s="63"/>
      <c r="B57" s="64"/>
      <c r="C57" s="64"/>
      <c r="D57" s="84"/>
      <c r="E57" s="85"/>
      <c r="F57" s="86"/>
      <c r="G57" s="2298"/>
      <c r="H57" s="2206"/>
      <c r="I57" s="2247"/>
      <c r="J57" s="2208"/>
      <c r="K57" s="2323"/>
      <c r="L57" s="2324"/>
      <c r="M57" s="2326"/>
      <c r="N57" s="2208"/>
      <c r="O57" s="2193"/>
      <c r="P57" s="2330"/>
      <c r="Q57" s="2208"/>
      <c r="R57" s="2208"/>
      <c r="S57" s="2336" t="s">
        <v>136</v>
      </c>
      <c r="T57" s="1917">
        <v>9583333</v>
      </c>
      <c r="U57" s="82">
        <v>20</v>
      </c>
      <c r="V57" s="65" t="s">
        <v>137</v>
      </c>
      <c r="W57" s="2272"/>
      <c r="X57" s="2272"/>
      <c r="Y57" s="2272"/>
      <c r="Z57" s="2272"/>
      <c r="AA57" s="2272"/>
      <c r="AB57" s="2272"/>
      <c r="AC57" s="2272"/>
      <c r="AD57" s="2272"/>
      <c r="AE57" s="2272"/>
      <c r="AF57" s="2272"/>
      <c r="AG57" s="2272"/>
      <c r="AH57" s="2272"/>
      <c r="AI57" s="2272"/>
      <c r="AJ57" s="2272"/>
      <c r="AK57" s="2272"/>
      <c r="AL57" s="2272"/>
      <c r="AM57" s="2290"/>
      <c r="AN57" s="2217"/>
      <c r="AO57" s="2272"/>
    </row>
    <row r="58" spans="1:41" s="3" customFormat="1" ht="57.75" customHeight="1" x14ac:dyDescent="0.2">
      <c r="A58" s="63"/>
      <c r="B58" s="64"/>
      <c r="C58" s="64"/>
      <c r="D58" s="84"/>
      <c r="E58" s="85"/>
      <c r="F58" s="86"/>
      <c r="G58" s="2298"/>
      <c r="H58" s="2206"/>
      <c r="I58" s="2247"/>
      <c r="J58" s="2208"/>
      <c r="K58" s="2323"/>
      <c r="L58" s="2324"/>
      <c r="M58" s="2326"/>
      <c r="N58" s="2208"/>
      <c r="O58" s="2193"/>
      <c r="P58" s="2330"/>
      <c r="Q58" s="2208"/>
      <c r="R58" s="2208"/>
      <c r="S58" s="2337"/>
      <c r="T58" s="1917">
        <f>17416667-7950000</f>
        <v>9466667</v>
      </c>
      <c r="U58" s="82">
        <v>88</v>
      </c>
      <c r="V58" s="1635" t="s">
        <v>466</v>
      </c>
      <c r="W58" s="2272"/>
      <c r="X58" s="2272"/>
      <c r="Y58" s="2272"/>
      <c r="Z58" s="2272"/>
      <c r="AA58" s="2272"/>
      <c r="AB58" s="2272"/>
      <c r="AC58" s="2272"/>
      <c r="AD58" s="2272"/>
      <c r="AE58" s="2272"/>
      <c r="AF58" s="2272"/>
      <c r="AG58" s="2272"/>
      <c r="AH58" s="2272"/>
      <c r="AI58" s="2272"/>
      <c r="AJ58" s="2272"/>
      <c r="AK58" s="2272"/>
      <c r="AL58" s="2272"/>
      <c r="AM58" s="2290"/>
      <c r="AN58" s="2217"/>
      <c r="AO58" s="2272"/>
    </row>
    <row r="59" spans="1:41" s="3" customFormat="1" ht="70.5" customHeight="1" x14ac:dyDescent="0.2">
      <c r="A59" s="63"/>
      <c r="B59" s="64"/>
      <c r="C59" s="64"/>
      <c r="D59" s="84"/>
      <c r="E59" s="85"/>
      <c r="F59" s="86"/>
      <c r="G59" s="2298"/>
      <c r="H59" s="2206"/>
      <c r="I59" s="2247"/>
      <c r="J59" s="2208"/>
      <c r="K59" s="2323"/>
      <c r="L59" s="2324"/>
      <c r="M59" s="2326"/>
      <c r="N59" s="2208"/>
      <c r="O59" s="2193"/>
      <c r="P59" s="2330"/>
      <c r="Q59" s="2208"/>
      <c r="R59" s="2208"/>
      <c r="S59" s="2336" t="s">
        <v>138</v>
      </c>
      <c r="T59" s="1917">
        <v>9450000</v>
      </c>
      <c r="U59" s="82">
        <v>20</v>
      </c>
      <c r="V59" s="65" t="s">
        <v>137</v>
      </c>
      <c r="W59" s="2272"/>
      <c r="X59" s="2272"/>
      <c r="Y59" s="2272"/>
      <c r="Z59" s="2272"/>
      <c r="AA59" s="2272"/>
      <c r="AB59" s="2272"/>
      <c r="AC59" s="2272"/>
      <c r="AD59" s="2272"/>
      <c r="AE59" s="2272"/>
      <c r="AF59" s="2272"/>
      <c r="AG59" s="2272"/>
      <c r="AH59" s="2272"/>
      <c r="AI59" s="2272"/>
      <c r="AJ59" s="2272"/>
      <c r="AK59" s="2272"/>
      <c r="AL59" s="2272"/>
      <c r="AM59" s="2290"/>
      <c r="AN59" s="2217"/>
      <c r="AO59" s="2272"/>
    </row>
    <row r="60" spans="1:41" s="3" customFormat="1" ht="70.5" customHeight="1" x14ac:dyDescent="0.2">
      <c r="A60" s="63"/>
      <c r="B60" s="64"/>
      <c r="C60" s="64"/>
      <c r="D60" s="84"/>
      <c r="E60" s="85"/>
      <c r="F60" s="86"/>
      <c r="G60" s="2298"/>
      <c r="H60" s="2206"/>
      <c r="I60" s="2247"/>
      <c r="J60" s="2208"/>
      <c r="K60" s="2323"/>
      <c r="L60" s="2324"/>
      <c r="M60" s="2326"/>
      <c r="N60" s="2208"/>
      <c r="O60" s="2193"/>
      <c r="P60" s="2330"/>
      <c r="Q60" s="2208"/>
      <c r="R60" s="2208"/>
      <c r="S60" s="2337"/>
      <c r="T60" s="1917">
        <v>12450000</v>
      </c>
      <c r="U60" s="82">
        <v>88</v>
      </c>
      <c r="V60" s="1635" t="s">
        <v>466</v>
      </c>
      <c r="W60" s="2272"/>
      <c r="X60" s="2272"/>
      <c r="Y60" s="2272"/>
      <c r="Z60" s="2272"/>
      <c r="AA60" s="2272"/>
      <c r="AB60" s="2272"/>
      <c r="AC60" s="2272"/>
      <c r="AD60" s="2272"/>
      <c r="AE60" s="2272"/>
      <c r="AF60" s="2272"/>
      <c r="AG60" s="2272"/>
      <c r="AH60" s="2272"/>
      <c r="AI60" s="2272"/>
      <c r="AJ60" s="2272"/>
      <c r="AK60" s="2272"/>
      <c r="AL60" s="2272"/>
      <c r="AM60" s="2290"/>
      <c r="AN60" s="2217"/>
      <c r="AO60" s="2272"/>
    </row>
    <row r="61" spans="1:41" s="3" customFormat="1" ht="71.25" customHeight="1" x14ac:dyDescent="0.2">
      <c r="A61" s="63"/>
      <c r="B61" s="64"/>
      <c r="C61" s="64"/>
      <c r="D61" s="84"/>
      <c r="E61" s="85"/>
      <c r="F61" s="86"/>
      <c r="G61" s="2298"/>
      <c r="H61" s="2206"/>
      <c r="I61" s="2247"/>
      <c r="J61" s="2208"/>
      <c r="K61" s="2323"/>
      <c r="L61" s="2324"/>
      <c r="M61" s="2326"/>
      <c r="N61" s="2208"/>
      <c r="O61" s="2193"/>
      <c r="P61" s="2330"/>
      <c r="Q61" s="2208"/>
      <c r="R61" s="2208"/>
      <c r="S61" s="2336" t="s">
        <v>139</v>
      </c>
      <c r="T61" s="1917">
        <v>6393333</v>
      </c>
      <c r="U61" s="82">
        <v>20</v>
      </c>
      <c r="V61" s="65" t="s">
        <v>137</v>
      </c>
      <c r="W61" s="2272"/>
      <c r="X61" s="2272"/>
      <c r="Y61" s="2272"/>
      <c r="Z61" s="2272"/>
      <c r="AA61" s="2272"/>
      <c r="AB61" s="2272"/>
      <c r="AC61" s="2272"/>
      <c r="AD61" s="2272"/>
      <c r="AE61" s="2272"/>
      <c r="AF61" s="2272"/>
      <c r="AG61" s="2272"/>
      <c r="AH61" s="2272"/>
      <c r="AI61" s="2272"/>
      <c r="AJ61" s="2272"/>
      <c r="AK61" s="2272"/>
      <c r="AL61" s="2272"/>
      <c r="AM61" s="2290"/>
      <c r="AN61" s="2217"/>
      <c r="AO61" s="2272"/>
    </row>
    <row r="62" spans="1:41" s="3" customFormat="1" ht="71.25" customHeight="1" x14ac:dyDescent="0.2">
      <c r="A62" s="63"/>
      <c r="B62" s="64"/>
      <c r="C62" s="64"/>
      <c r="D62" s="84"/>
      <c r="E62" s="85"/>
      <c r="F62" s="86"/>
      <c r="G62" s="2298"/>
      <c r="H62" s="2206"/>
      <c r="I62" s="2247"/>
      <c r="J62" s="2208"/>
      <c r="K62" s="2323"/>
      <c r="L62" s="2324"/>
      <c r="M62" s="2326"/>
      <c r="N62" s="2208"/>
      <c r="O62" s="2193"/>
      <c r="P62" s="2330"/>
      <c r="Q62" s="2208"/>
      <c r="R62" s="2208"/>
      <c r="S62" s="2337"/>
      <c r="T62" s="1917">
        <f>11726667-5520000</f>
        <v>6206667</v>
      </c>
      <c r="U62" s="82">
        <v>88</v>
      </c>
      <c r="V62" s="1635" t="s">
        <v>466</v>
      </c>
      <c r="W62" s="2272"/>
      <c r="X62" s="2272"/>
      <c r="Y62" s="2272"/>
      <c r="Z62" s="2272"/>
      <c r="AA62" s="2272"/>
      <c r="AB62" s="2272"/>
      <c r="AC62" s="2272"/>
      <c r="AD62" s="2272"/>
      <c r="AE62" s="2272"/>
      <c r="AF62" s="2272"/>
      <c r="AG62" s="2272"/>
      <c r="AH62" s="2272"/>
      <c r="AI62" s="2272"/>
      <c r="AJ62" s="2272"/>
      <c r="AK62" s="2272"/>
      <c r="AL62" s="2272"/>
      <c r="AM62" s="2290"/>
      <c r="AN62" s="2217"/>
      <c r="AO62" s="2272"/>
    </row>
    <row r="63" spans="1:41" s="3" customFormat="1" ht="67.5" customHeight="1" x14ac:dyDescent="0.2">
      <c r="A63" s="63"/>
      <c r="B63" s="64"/>
      <c r="C63" s="64"/>
      <c r="D63" s="84"/>
      <c r="E63" s="85"/>
      <c r="F63" s="86"/>
      <c r="G63" s="2298"/>
      <c r="H63" s="2206"/>
      <c r="I63" s="2247"/>
      <c r="J63" s="2208"/>
      <c r="K63" s="2323"/>
      <c r="L63" s="2324"/>
      <c r="M63" s="2326"/>
      <c r="N63" s="2208"/>
      <c r="O63" s="2193"/>
      <c r="P63" s="2330"/>
      <c r="Q63" s="2208"/>
      <c r="R63" s="2208"/>
      <c r="S63" s="2336" t="s">
        <v>140</v>
      </c>
      <c r="T63" s="1917">
        <v>2550000</v>
      </c>
      <c r="U63" s="82">
        <v>20</v>
      </c>
      <c r="V63" s="65" t="s">
        <v>137</v>
      </c>
      <c r="W63" s="2272"/>
      <c r="X63" s="2272"/>
      <c r="Y63" s="2272"/>
      <c r="Z63" s="2272"/>
      <c r="AA63" s="2272"/>
      <c r="AB63" s="2272"/>
      <c r="AC63" s="2272"/>
      <c r="AD63" s="2272"/>
      <c r="AE63" s="2272"/>
      <c r="AF63" s="2272"/>
      <c r="AG63" s="2272"/>
      <c r="AH63" s="2272"/>
      <c r="AI63" s="2272"/>
      <c r="AJ63" s="2272"/>
      <c r="AK63" s="2272"/>
      <c r="AL63" s="2272"/>
      <c r="AM63" s="2290"/>
      <c r="AN63" s="2217"/>
      <c r="AO63" s="2272"/>
    </row>
    <row r="64" spans="1:41" s="3" customFormat="1" ht="67.5" customHeight="1" x14ac:dyDescent="0.2">
      <c r="A64" s="63"/>
      <c r="B64" s="64"/>
      <c r="C64" s="64"/>
      <c r="D64" s="84"/>
      <c r="E64" s="85"/>
      <c r="F64" s="86"/>
      <c r="G64" s="2298"/>
      <c r="H64" s="2206"/>
      <c r="I64" s="2247"/>
      <c r="J64" s="2208"/>
      <c r="K64" s="2323"/>
      <c r="L64" s="2324"/>
      <c r="M64" s="2326"/>
      <c r="N64" s="2208"/>
      <c r="O64" s="2193"/>
      <c r="P64" s="2330"/>
      <c r="Q64" s="2208"/>
      <c r="R64" s="2208"/>
      <c r="S64" s="2337"/>
      <c r="T64" s="1917">
        <v>4500000</v>
      </c>
      <c r="U64" s="82">
        <v>88</v>
      </c>
      <c r="V64" s="1635" t="s">
        <v>466</v>
      </c>
      <c r="W64" s="2272"/>
      <c r="X64" s="2272"/>
      <c r="Y64" s="2272"/>
      <c r="Z64" s="2272"/>
      <c r="AA64" s="2272"/>
      <c r="AB64" s="2272"/>
      <c r="AC64" s="2272"/>
      <c r="AD64" s="2272"/>
      <c r="AE64" s="2272"/>
      <c r="AF64" s="2272"/>
      <c r="AG64" s="2272"/>
      <c r="AH64" s="2272"/>
      <c r="AI64" s="2272"/>
      <c r="AJ64" s="2272"/>
      <c r="AK64" s="2272"/>
      <c r="AL64" s="2272"/>
      <c r="AM64" s="2290"/>
      <c r="AN64" s="2217"/>
      <c r="AO64" s="2272"/>
    </row>
    <row r="65" spans="1:41" s="3" customFormat="1" ht="94.5" customHeight="1" x14ac:dyDescent="0.2">
      <c r="A65" s="63"/>
      <c r="B65" s="64"/>
      <c r="C65" s="64"/>
      <c r="D65" s="84"/>
      <c r="E65" s="85"/>
      <c r="F65" s="86"/>
      <c r="G65" s="2298"/>
      <c r="H65" s="2206"/>
      <c r="I65" s="2247"/>
      <c r="J65" s="2208"/>
      <c r="K65" s="2323"/>
      <c r="L65" s="2324"/>
      <c r="M65" s="2326"/>
      <c r="N65" s="2208"/>
      <c r="O65" s="2193"/>
      <c r="P65" s="2330"/>
      <c r="Q65" s="2208"/>
      <c r="R65" s="2208"/>
      <c r="S65" s="93" t="s">
        <v>141</v>
      </c>
      <c r="T65" s="1917">
        <v>4516666</v>
      </c>
      <c r="U65" s="82">
        <v>88</v>
      </c>
      <c r="V65" s="1635" t="s">
        <v>466</v>
      </c>
      <c r="W65" s="2272"/>
      <c r="X65" s="2272"/>
      <c r="Y65" s="2272"/>
      <c r="Z65" s="2272"/>
      <c r="AA65" s="2272"/>
      <c r="AB65" s="2272"/>
      <c r="AC65" s="2272"/>
      <c r="AD65" s="2272"/>
      <c r="AE65" s="2272"/>
      <c r="AF65" s="2272"/>
      <c r="AG65" s="2272"/>
      <c r="AH65" s="2272"/>
      <c r="AI65" s="2272"/>
      <c r="AJ65" s="2272"/>
      <c r="AK65" s="2272"/>
      <c r="AL65" s="2272"/>
      <c r="AM65" s="2290"/>
      <c r="AN65" s="2217"/>
      <c r="AO65" s="2272"/>
    </row>
    <row r="66" spans="1:41" s="3" customFormat="1" ht="70.5" customHeight="1" x14ac:dyDescent="0.2">
      <c r="A66" s="63"/>
      <c r="B66" s="64"/>
      <c r="C66" s="64"/>
      <c r="D66" s="84"/>
      <c r="E66" s="85"/>
      <c r="F66" s="86"/>
      <c r="G66" s="2298"/>
      <c r="H66" s="2206"/>
      <c r="I66" s="2247"/>
      <c r="J66" s="2208"/>
      <c r="K66" s="2323"/>
      <c r="L66" s="2324"/>
      <c r="M66" s="2326"/>
      <c r="N66" s="2208"/>
      <c r="O66" s="2193"/>
      <c r="P66" s="2330"/>
      <c r="Q66" s="2208"/>
      <c r="R66" s="2208"/>
      <c r="S66" s="2338" t="s">
        <v>142</v>
      </c>
      <c r="T66" s="1918">
        <v>1600000</v>
      </c>
      <c r="U66" s="82">
        <v>20</v>
      </c>
      <c r="V66" s="65" t="s">
        <v>137</v>
      </c>
      <c r="W66" s="2272"/>
      <c r="X66" s="2272"/>
      <c r="Y66" s="2272"/>
      <c r="Z66" s="2272"/>
      <c r="AA66" s="2272"/>
      <c r="AB66" s="2272"/>
      <c r="AC66" s="2272"/>
      <c r="AD66" s="2272"/>
      <c r="AE66" s="2272"/>
      <c r="AF66" s="2272"/>
      <c r="AG66" s="2272"/>
      <c r="AH66" s="2272"/>
      <c r="AI66" s="2272"/>
      <c r="AJ66" s="2272"/>
      <c r="AK66" s="2272"/>
      <c r="AL66" s="2272"/>
      <c r="AM66" s="2290"/>
      <c r="AN66" s="2217"/>
      <c r="AO66" s="2272"/>
    </row>
    <row r="67" spans="1:41" s="3" customFormat="1" ht="70.5" customHeight="1" x14ac:dyDescent="0.2">
      <c r="A67" s="63"/>
      <c r="B67" s="64"/>
      <c r="C67" s="64"/>
      <c r="D67" s="84"/>
      <c r="E67" s="85"/>
      <c r="F67" s="86"/>
      <c r="G67" s="2298"/>
      <c r="H67" s="2206"/>
      <c r="I67" s="2247"/>
      <c r="J67" s="2208"/>
      <c r="K67" s="2323"/>
      <c r="L67" s="2324"/>
      <c r="M67" s="2326"/>
      <c r="N67" s="2208"/>
      <c r="O67" s="2193"/>
      <c r="P67" s="2330"/>
      <c r="Q67" s="2208"/>
      <c r="R67" s="2208"/>
      <c r="S67" s="2338"/>
      <c r="T67" s="1918">
        <v>1600000</v>
      </c>
      <c r="U67" s="82">
        <v>88</v>
      </c>
      <c r="V67" s="1635" t="s">
        <v>466</v>
      </c>
      <c r="W67" s="2272"/>
      <c r="X67" s="2272"/>
      <c r="Y67" s="2272"/>
      <c r="Z67" s="2272"/>
      <c r="AA67" s="2272"/>
      <c r="AB67" s="2272"/>
      <c r="AC67" s="2272"/>
      <c r="AD67" s="2272"/>
      <c r="AE67" s="2272"/>
      <c r="AF67" s="2272"/>
      <c r="AG67" s="2272"/>
      <c r="AH67" s="2272"/>
      <c r="AI67" s="2272"/>
      <c r="AJ67" s="2272"/>
      <c r="AK67" s="2272"/>
      <c r="AL67" s="2272"/>
      <c r="AM67" s="2290"/>
      <c r="AN67" s="2217"/>
      <c r="AO67" s="2272"/>
    </row>
    <row r="68" spans="1:41" s="3" customFormat="1" ht="50.25" customHeight="1" x14ac:dyDescent="0.2">
      <c r="A68" s="63"/>
      <c r="B68" s="64"/>
      <c r="C68" s="64"/>
      <c r="D68" s="84"/>
      <c r="E68" s="85"/>
      <c r="F68" s="86"/>
      <c r="G68" s="2298"/>
      <c r="H68" s="2206"/>
      <c r="I68" s="2247"/>
      <c r="J68" s="2208"/>
      <c r="K68" s="2323"/>
      <c r="L68" s="2324"/>
      <c r="M68" s="2326"/>
      <c r="N68" s="2208"/>
      <c r="O68" s="2193"/>
      <c r="P68" s="2330"/>
      <c r="Q68" s="2208"/>
      <c r="R68" s="2208"/>
      <c r="S68" s="2338" t="s">
        <v>143</v>
      </c>
      <c r="T68" s="1918">
        <v>1460000</v>
      </c>
      <c r="U68" s="82">
        <v>20</v>
      </c>
      <c r="V68" s="65" t="s">
        <v>137</v>
      </c>
      <c r="W68" s="2272"/>
      <c r="X68" s="2272"/>
      <c r="Y68" s="2272"/>
      <c r="Z68" s="2272"/>
      <c r="AA68" s="2272"/>
      <c r="AB68" s="2272"/>
      <c r="AC68" s="2272"/>
      <c r="AD68" s="2272"/>
      <c r="AE68" s="2272"/>
      <c r="AF68" s="2272"/>
      <c r="AG68" s="2272"/>
      <c r="AH68" s="2272"/>
      <c r="AI68" s="2272"/>
      <c r="AJ68" s="2272"/>
      <c r="AK68" s="2272"/>
      <c r="AL68" s="2272"/>
      <c r="AM68" s="2290"/>
      <c r="AN68" s="2217"/>
      <c r="AO68" s="2272"/>
    </row>
    <row r="69" spans="1:41" s="3" customFormat="1" ht="63.75" customHeight="1" x14ac:dyDescent="0.2">
      <c r="A69" s="63"/>
      <c r="B69" s="64"/>
      <c r="C69" s="64"/>
      <c r="D69" s="84"/>
      <c r="E69" s="85"/>
      <c r="F69" s="86"/>
      <c r="G69" s="2299"/>
      <c r="H69" s="2319"/>
      <c r="I69" s="2321"/>
      <c r="J69" s="2322"/>
      <c r="K69" s="2323"/>
      <c r="L69" s="2324"/>
      <c r="M69" s="2327"/>
      <c r="N69" s="2322"/>
      <c r="O69" s="2193"/>
      <c r="P69" s="2331"/>
      <c r="Q69" s="2322"/>
      <c r="R69" s="2322"/>
      <c r="S69" s="2338"/>
      <c r="T69" s="1919">
        <f>90000-30000</f>
        <v>60000</v>
      </c>
      <c r="U69" s="94">
        <v>88</v>
      </c>
      <c r="V69" s="1635" t="s">
        <v>466</v>
      </c>
      <c r="W69" s="2273"/>
      <c r="X69" s="2273"/>
      <c r="Y69" s="2273"/>
      <c r="Z69" s="2273"/>
      <c r="AA69" s="2273"/>
      <c r="AB69" s="2273"/>
      <c r="AC69" s="2273"/>
      <c r="AD69" s="2273"/>
      <c r="AE69" s="2273"/>
      <c r="AF69" s="2273"/>
      <c r="AG69" s="2273"/>
      <c r="AH69" s="2273"/>
      <c r="AI69" s="2273"/>
      <c r="AJ69" s="2273"/>
      <c r="AK69" s="2273"/>
      <c r="AL69" s="2273"/>
      <c r="AM69" s="2291"/>
      <c r="AN69" s="2292"/>
      <c r="AO69" s="2273"/>
    </row>
    <row r="70" spans="1:41" s="3" customFormat="1" ht="86.25" customHeight="1" x14ac:dyDescent="0.2">
      <c r="A70" s="63"/>
      <c r="B70" s="2339"/>
      <c r="C70" s="2339"/>
      <c r="D70" s="84"/>
      <c r="E70" s="2340"/>
      <c r="F70" s="2341"/>
      <c r="G70" s="2281" t="s">
        <v>52</v>
      </c>
      <c r="H70" s="2301" t="s">
        <v>144</v>
      </c>
      <c r="I70" s="2247" t="s">
        <v>145</v>
      </c>
      <c r="J70" s="2208" t="s">
        <v>146</v>
      </c>
      <c r="K70" s="2344">
        <v>12</v>
      </c>
      <c r="L70" s="2323" t="s">
        <v>147</v>
      </c>
      <c r="M70" s="2325" t="s">
        <v>148</v>
      </c>
      <c r="N70" s="2360" t="s">
        <v>149</v>
      </c>
      <c r="O70" s="2362">
        <f>SUM(T70:T72)/P70</f>
        <v>0.29113924050632911</v>
      </c>
      <c r="P70" s="2363">
        <f>SUM(T70:T78)</f>
        <v>118500000</v>
      </c>
      <c r="Q70" s="2268" t="s">
        <v>150</v>
      </c>
      <c r="R70" s="2346" t="s">
        <v>151</v>
      </c>
      <c r="S70" s="97" t="s">
        <v>152</v>
      </c>
      <c r="T70" s="1920">
        <v>15000000</v>
      </c>
      <c r="U70" s="98">
        <v>88</v>
      </c>
      <c r="V70" s="1635" t="s">
        <v>466</v>
      </c>
      <c r="W70" s="2348">
        <v>295972</v>
      </c>
      <c r="X70" s="2271">
        <v>285580</v>
      </c>
      <c r="Y70" s="2271">
        <v>135545</v>
      </c>
      <c r="Z70" s="2271">
        <v>44254</v>
      </c>
      <c r="AA70" s="2271">
        <v>309146</v>
      </c>
      <c r="AB70" s="2271">
        <v>92607</v>
      </c>
      <c r="AC70" s="2271">
        <v>2145</v>
      </c>
      <c r="AD70" s="2271">
        <v>12718</v>
      </c>
      <c r="AE70" s="2271">
        <v>26</v>
      </c>
      <c r="AF70" s="2271">
        <v>37</v>
      </c>
      <c r="AG70" s="2271">
        <v>0</v>
      </c>
      <c r="AH70" s="2271">
        <v>0</v>
      </c>
      <c r="AI70" s="2271">
        <v>44350</v>
      </c>
      <c r="AJ70" s="2271">
        <v>21944</v>
      </c>
      <c r="AK70" s="2271">
        <v>75687</v>
      </c>
      <c r="AL70" s="2271">
        <v>581552</v>
      </c>
      <c r="AM70" s="2289">
        <v>43832</v>
      </c>
      <c r="AN70" s="2216">
        <v>44195</v>
      </c>
      <c r="AO70" s="2271" t="s">
        <v>133</v>
      </c>
    </row>
    <row r="71" spans="1:41" s="3" customFormat="1" ht="51.75" customHeight="1" x14ac:dyDescent="0.2">
      <c r="A71" s="63"/>
      <c r="B71" s="64"/>
      <c r="C71" s="64"/>
      <c r="D71" s="84"/>
      <c r="E71" s="85"/>
      <c r="F71" s="86"/>
      <c r="G71" s="2282"/>
      <c r="H71" s="2301"/>
      <c r="I71" s="2247"/>
      <c r="J71" s="2208"/>
      <c r="K71" s="2351"/>
      <c r="L71" s="2323"/>
      <c r="M71" s="2326"/>
      <c r="N71" s="2361"/>
      <c r="O71" s="2362"/>
      <c r="P71" s="2364"/>
      <c r="Q71" s="2269"/>
      <c r="R71" s="2347"/>
      <c r="S71" s="99" t="s">
        <v>153</v>
      </c>
      <c r="T71" s="1921">
        <v>2400000</v>
      </c>
      <c r="U71" s="98">
        <v>20</v>
      </c>
      <c r="V71" s="65" t="s">
        <v>137</v>
      </c>
      <c r="W71" s="2222"/>
      <c r="X71" s="2272"/>
      <c r="Y71" s="2272"/>
      <c r="Z71" s="2272"/>
      <c r="AA71" s="2272"/>
      <c r="AB71" s="2272"/>
      <c r="AC71" s="2272"/>
      <c r="AD71" s="2272"/>
      <c r="AE71" s="2272"/>
      <c r="AF71" s="2272"/>
      <c r="AG71" s="2272"/>
      <c r="AH71" s="2272"/>
      <c r="AI71" s="2272"/>
      <c r="AJ71" s="2272"/>
      <c r="AK71" s="2272"/>
      <c r="AL71" s="2272"/>
      <c r="AM71" s="2290"/>
      <c r="AN71" s="2217"/>
      <c r="AO71" s="2272"/>
    </row>
    <row r="72" spans="1:41" s="3" customFormat="1" ht="47.25" customHeight="1" x14ac:dyDescent="0.2">
      <c r="A72" s="63"/>
      <c r="B72" s="64"/>
      <c r="C72" s="64"/>
      <c r="D72" s="84"/>
      <c r="E72" s="85"/>
      <c r="F72" s="86"/>
      <c r="G72" s="2283"/>
      <c r="H72" s="2301"/>
      <c r="I72" s="2247"/>
      <c r="J72" s="2208"/>
      <c r="K72" s="2345"/>
      <c r="L72" s="2323"/>
      <c r="M72" s="2326"/>
      <c r="N72" s="2361"/>
      <c r="O72" s="2362"/>
      <c r="P72" s="2364"/>
      <c r="Q72" s="2269"/>
      <c r="R72" s="2347"/>
      <c r="S72" s="99" t="s">
        <v>154</v>
      </c>
      <c r="T72" s="1921">
        <v>17100000</v>
      </c>
      <c r="U72" s="98">
        <v>20</v>
      </c>
      <c r="V72" s="65" t="s">
        <v>137</v>
      </c>
      <c r="W72" s="2222"/>
      <c r="X72" s="2272"/>
      <c r="Y72" s="2272"/>
      <c r="Z72" s="2272"/>
      <c r="AA72" s="2272"/>
      <c r="AB72" s="2272"/>
      <c r="AC72" s="2272"/>
      <c r="AD72" s="2272"/>
      <c r="AE72" s="2272"/>
      <c r="AF72" s="2272"/>
      <c r="AG72" s="2272"/>
      <c r="AH72" s="2272"/>
      <c r="AI72" s="2272"/>
      <c r="AJ72" s="2272"/>
      <c r="AK72" s="2272"/>
      <c r="AL72" s="2272"/>
      <c r="AM72" s="2290"/>
      <c r="AN72" s="2217"/>
      <c r="AO72" s="2272"/>
    </row>
    <row r="73" spans="1:41" s="3" customFormat="1" ht="59.25" customHeight="1" x14ac:dyDescent="0.2">
      <c r="A73" s="63"/>
      <c r="B73" s="64"/>
      <c r="C73" s="64"/>
      <c r="D73" s="84"/>
      <c r="E73" s="85"/>
      <c r="F73" s="86"/>
      <c r="G73" s="100" t="s">
        <v>52</v>
      </c>
      <c r="H73" s="101" t="s">
        <v>155</v>
      </c>
      <c r="I73" s="102" t="s">
        <v>156</v>
      </c>
      <c r="J73" s="103" t="s">
        <v>157</v>
      </c>
      <c r="K73" s="104">
        <v>12</v>
      </c>
      <c r="L73" s="2323"/>
      <c r="M73" s="2326"/>
      <c r="N73" s="2172"/>
      <c r="O73" s="105">
        <f>T73/P70</f>
        <v>0.12658227848101267</v>
      </c>
      <c r="P73" s="2365"/>
      <c r="Q73" s="2269"/>
      <c r="R73" s="2347"/>
      <c r="S73" s="106" t="s">
        <v>158</v>
      </c>
      <c r="T73" s="1922">
        <v>15000000</v>
      </c>
      <c r="U73" s="98">
        <v>88</v>
      </c>
      <c r="V73" s="1635" t="s">
        <v>466</v>
      </c>
      <c r="W73" s="2222"/>
      <c r="X73" s="2272"/>
      <c r="Y73" s="2272"/>
      <c r="Z73" s="2272"/>
      <c r="AA73" s="2272"/>
      <c r="AB73" s="2272"/>
      <c r="AC73" s="2272"/>
      <c r="AD73" s="2272"/>
      <c r="AE73" s="2272"/>
      <c r="AF73" s="2272"/>
      <c r="AG73" s="2272"/>
      <c r="AH73" s="2272"/>
      <c r="AI73" s="2272"/>
      <c r="AJ73" s="2272"/>
      <c r="AK73" s="2272"/>
      <c r="AL73" s="2272"/>
      <c r="AM73" s="2290"/>
      <c r="AN73" s="2217"/>
      <c r="AO73" s="2272"/>
    </row>
    <row r="74" spans="1:41" s="3" customFormat="1" ht="81.75" customHeight="1" x14ac:dyDescent="0.2">
      <c r="A74" s="63"/>
      <c r="B74" s="2339"/>
      <c r="C74" s="2341"/>
      <c r="D74" s="84"/>
      <c r="E74" s="2340"/>
      <c r="F74" s="2341"/>
      <c r="G74" s="107" t="s">
        <v>52</v>
      </c>
      <c r="H74" s="108" t="s">
        <v>159</v>
      </c>
      <c r="I74" s="109" t="s">
        <v>160</v>
      </c>
      <c r="J74" s="110" t="s">
        <v>157</v>
      </c>
      <c r="K74" s="104">
        <v>12</v>
      </c>
      <c r="L74" s="2323"/>
      <c r="M74" s="2326"/>
      <c r="N74" s="2172"/>
      <c r="O74" s="111">
        <f>T74/P70</f>
        <v>0.12658227848101267</v>
      </c>
      <c r="P74" s="2365"/>
      <c r="Q74" s="2269"/>
      <c r="R74" s="2347"/>
      <c r="S74" s="99" t="s">
        <v>161</v>
      </c>
      <c r="T74" s="1922">
        <v>15000000</v>
      </c>
      <c r="U74" s="98">
        <v>88</v>
      </c>
      <c r="V74" s="1635" t="s">
        <v>466</v>
      </c>
      <c r="W74" s="2222"/>
      <c r="X74" s="2272"/>
      <c r="Y74" s="2272"/>
      <c r="Z74" s="2272"/>
      <c r="AA74" s="2272"/>
      <c r="AB74" s="2272"/>
      <c r="AC74" s="2272"/>
      <c r="AD74" s="2272"/>
      <c r="AE74" s="2272"/>
      <c r="AF74" s="2272"/>
      <c r="AG74" s="2272"/>
      <c r="AH74" s="2272"/>
      <c r="AI74" s="2272"/>
      <c r="AJ74" s="2272"/>
      <c r="AK74" s="2272"/>
      <c r="AL74" s="2272"/>
      <c r="AM74" s="2290"/>
      <c r="AN74" s="2217"/>
      <c r="AO74" s="2272"/>
    </row>
    <row r="75" spans="1:41" s="3" customFormat="1" ht="57" customHeight="1" x14ac:dyDescent="0.2">
      <c r="A75" s="112"/>
      <c r="B75" s="64"/>
      <c r="C75" s="86"/>
      <c r="D75" s="84"/>
      <c r="E75" s="85"/>
      <c r="F75" s="86"/>
      <c r="G75" s="2190" t="s">
        <v>52</v>
      </c>
      <c r="H75" s="2190" t="s">
        <v>162</v>
      </c>
      <c r="I75" s="2285" t="s">
        <v>163</v>
      </c>
      <c r="J75" s="2342" t="s">
        <v>157</v>
      </c>
      <c r="K75" s="2344">
        <v>12</v>
      </c>
      <c r="L75" s="2323"/>
      <c r="M75" s="2326"/>
      <c r="N75" s="2172"/>
      <c r="O75" s="2287">
        <f>SUM(T75:T76)/P70</f>
        <v>0.20253164556962025</v>
      </c>
      <c r="P75" s="2365"/>
      <c r="Q75" s="2269"/>
      <c r="R75" s="2347"/>
      <c r="S75" s="2350" t="s">
        <v>164</v>
      </c>
      <c r="T75" s="1922">
        <v>9000000</v>
      </c>
      <c r="U75" s="98">
        <v>20</v>
      </c>
      <c r="V75" s="113" t="s">
        <v>137</v>
      </c>
      <c r="W75" s="2222"/>
      <c r="X75" s="2272"/>
      <c r="Y75" s="2272"/>
      <c r="Z75" s="2272"/>
      <c r="AA75" s="2272"/>
      <c r="AB75" s="2272"/>
      <c r="AC75" s="2272"/>
      <c r="AD75" s="2272"/>
      <c r="AE75" s="2272"/>
      <c r="AF75" s="2272"/>
      <c r="AG75" s="2272"/>
      <c r="AH75" s="2272"/>
      <c r="AI75" s="2272"/>
      <c r="AJ75" s="2272"/>
      <c r="AK75" s="2272"/>
      <c r="AL75" s="2272"/>
      <c r="AM75" s="2290"/>
      <c r="AN75" s="2217"/>
      <c r="AO75" s="2272"/>
    </row>
    <row r="76" spans="1:41" ht="71.25" customHeight="1" x14ac:dyDescent="0.2">
      <c r="C76" s="115"/>
      <c r="D76" s="116"/>
      <c r="E76" s="117"/>
      <c r="F76" s="115"/>
      <c r="G76" s="2257"/>
      <c r="H76" s="2257"/>
      <c r="I76" s="2313"/>
      <c r="J76" s="2343"/>
      <c r="K76" s="2345"/>
      <c r="L76" s="2323"/>
      <c r="M76" s="2326"/>
      <c r="N76" s="2172"/>
      <c r="O76" s="2314"/>
      <c r="P76" s="2365"/>
      <c r="Q76" s="2269"/>
      <c r="R76" s="2347"/>
      <c r="S76" s="2350"/>
      <c r="T76" s="1922">
        <v>15000000</v>
      </c>
      <c r="U76" s="98">
        <v>88</v>
      </c>
      <c r="V76" s="1635" t="s">
        <v>466</v>
      </c>
      <c r="W76" s="2222"/>
      <c r="X76" s="2272"/>
      <c r="Y76" s="2272"/>
      <c r="Z76" s="2272"/>
      <c r="AA76" s="2272"/>
      <c r="AB76" s="2272"/>
      <c r="AC76" s="2272"/>
      <c r="AD76" s="2272"/>
      <c r="AE76" s="2272"/>
      <c r="AF76" s="2272"/>
      <c r="AG76" s="2272"/>
      <c r="AH76" s="2272"/>
      <c r="AI76" s="2272"/>
      <c r="AJ76" s="2272"/>
      <c r="AK76" s="2272"/>
      <c r="AL76" s="2272"/>
      <c r="AM76" s="2290"/>
      <c r="AN76" s="2217"/>
      <c r="AO76" s="2272"/>
    </row>
    <row r="77" spans="1:41" ht="60.75" customHeight="1" x14ac:dyDescent="0.2">
      <c r="C77" s="115"/>
      <c r="D77" s="116"/>
      <c r="E77" s="117"/>
      <c r="F77" s="115"/>
      <c r="G77" s="118" t="s">
        <v>52</v>
      </c>
      <c r="H77" s="118" t="s">
        <v>165</v>
      </c>
      <c r="I77" s="119" t="s">
        <v>166</v>
      </c>
      <c r="J77" s="120" t="s">
        <v>157</v>
      </c>
      <c r="K77" s="104">
        <v>12</v>
      </c>
      <c r="L77" s="2323"/>
      <c r="M77" s="2326"/>
      <c r="N77" s="2172"/>
      <c r="O77" s="111">
        <f>T77/P70</f>
        <v>0.12658227848101267</v>
      </c>
      <c r="P77" s="2365"/>
      <c r="Q77" s="2269"/>
      <c r="R77" s="2347"/>
      <c r="S77" s="106" t="s">
        <v>167</v>
      </c>
      <c r="T77" s="1922">
        <v>15000000</v>
      </c>
      <c r="U77" s="98">
        <v>88</v>
      </c>
      <c r="V77" s="1635" t="s">
        <v>466</v>
      </c>
      <c r="W77" s="2222"/>
      <c r="X77" s="2272"/>
      <c r="Y77" s="2272"/>
      <c r="Z77" s="2272"/>
      <c r="AA77" s="2272"/>
      <c r="AB77" s="2272"/>
      <c r="AC77" s="2272"/>
      <c r="AD77" s="2272"/>
      <c r="AE77" s="2272"/>
      <c r="AF77" s="2272"/>
      <c r="AG77" s="2272"/>
      <c r="AH77" s="2272"/>
      <c r="AI77" s="2272"/>
      <c r="AJ77" s="2272"/>
      <c r="AK77" s="2272"/>
      <c r="AL77" s="2272"/>
      <c r="AM77" s="2290"/>
      <c r="AN77" s="2217"/>
      <c r="AO77" s="2272"/>
    </row>
    <row r="78" spans="1:41" ht="69.75" customHeight="1" x14ac:dyDescent="0.2">
      <c r="C78" s="115"/>
      <c r="D78" s="116"/>
      <c r="E78" s="121"/>
      <c r="F78" s="115"/>
      <c r="G78" s="118" t="s">
        <v>52</v>
      </c>
      <c r="H78" s="122" t="s">
        <v>168</v>
      </c>
      <c r="I78" s="123" t="s">
        <v>169</v>
      </c>
      <c r="J78" s="124" t="s">
        <v>157</v>
      </c>
      <c r="K78" s="104">
        <v>12</v>
      </c>
      <c r="L78" s="2352"/>
      <c r="M78" s="2326"/>
      <c r="N78" s="2172"/>
      <c r="O78" s="125">
        <f>T78/$P$70</f>
        <v>0.12658227848101267</v>
      </c>
      <c r="P78" s="2365"/>
      <c r="Q78" s="2269"/>
      <c r="R78" s="2347"/>
      <c r="S78" s="126" t="s">
        <v>170</v>
      </c>
      <c r="T78" s="1910">
        <v>15000000</v>
      </c>
      <c r="U78" s="127">
        <v>88</v>
      </c>
      <c r="V78" s="1635" t="s">
        <v>466</v>
      </c>
      <c r="W78" s="2349"/>
      <c r="X78" s="2273"/>
      <c r="Y78" s="2273"/>
      <c r="Z78" s="2273"/>
      <c r="AA78" s="2273"/>
      <c r="AB78" s="2273"/>
      <c r="AC78" s="2273"/>
      <c r="AD78" s="2273"/>
      <c r="AE78" s="2273"/>
      <c r="AF78" s="2273"/>
      <c r="AG78" s="2273"/>
      <c r="AH78" s="2273"/>
      <c r="AI78" s="2273"/>
      <c r="AJ78" s="2273"/>
      <c r="AK78" s="2273"/>
      <c r="AL78" s="2273"/>
      <c r="AM78" s="2290"/>
      <c r="AN78" s="2217"/>
      <c r="AO78" s="2272"/>
    </row>
    <row r="79" spans="1:41" ht="74.25" customHeight="1" x14ac:dyDescent="0.2">
      <c r="C79" s="115"/>
      <c r="D79" s="116"/>
      <c r="E79" s="121"/>
      <c r="F79" s="115"/>
      <c r="G79" s="2353"/>
      <c r="H79" s="2224" t="s">
        <v>171</v>
      </c>
      <c r="I79" s="2321" t="s">
        <v>172</v>
      </c>
      <c r="J79" s="2357" t="s">
        <v>173</v>
      </c>
      <c r="K79" s="2344">
        <v>18</v>
      </c>
      <c r="L79" s="2352" t="s">
        <v>174</v>
      </c>
      <c r="M79" s="2344" t="s">
        <v>175</v>
      </c>
      <c r="N79" s="2321" t="s">
        <v>176</v>
      </c>
      <c r="O79" s="2367">
        <f>SUM(T79:T106)/P79</f>
        <v>1</v>
      </c>
      <c r="P79" s="2370">
        <f>SUM(T79:T106)</f>
        <v>36000000</v>
      </c>
      <c r="Q79" s="2373" t="s">
        <v>177</v>
      </c>
      <c r="R79" s="2376" t="s">
        <v>178</v>
      </c>
      <c r="S79" s="128" t="s">
        <v>179</v>
      </c>
      <c r="T79" s="1923">
        <v>500000</v>
      </c>
      <c r="U79" s="127">
        <v>88</v>
      </c>
      <c r="V79" s="1635" t="s">
        <v>466</v>
      </c>
      <c r="W79" s="2366">
        <v>295972</v>
      </c>
      <c r="X79" s="2366">
        <v>285580</v>
      </c>
      <c r="Y79" s="2366">
        <v>135545</v>
      </c>
      <c r="Z79" s="2366">
        <v>44254</v>
      </c>
      <c r="AA79" s="2366">
        <v>309146</v>
      </c>
      <c r="AB79" s="2366">
        <v>92607</v>
      </c>
      <c r="AC79" s="2366">
        <v>2145</v>
      </c>
      <c r="AD79" s="2366">
        <v>12718</v>
      </c>
      <c r="AE79" s="2366">
        <v>26</v>
      </c>
      <c r="AF79" s="2366">
        <v>37</v>
      </c>
      <c r="AG79" s="2366">
        <v>0</v>
      </c>
      <c r="AH79" s="2366">
        <v>0</v>
      </c>
      <c r="AI79" s="2366">
        <v>44350</v>
      </c>
      <c r="AJ79" s="2366">
        <v>21944</v>
      </c>
      <c r="AK79" s="2366">
        <v>75687</v>
      </c>
      <c r="AL79" s="2366">
        <v>581552</v>
      </c>
      <c r="AM79" s="2379">
        <v>44013</v>
      </c>
      <c r="AN79" s="2218">
        <v>44195</v>
      </c>
      <c r="AO79" s="2254" t="s">
        <v>102</v>
      </c>
    </row>
    <row r="80" spans="1:41" ht="54.75" customHeight="1" x14ac:dyDescent="0.2">
      <c r="C80" s="115"/>
      <c r="D80" s="116"/>
      <c r="E80" s="121"/>
      <c r="F80" s="115"/>
      <c r="G80" s="2354"/>
      <c r="H80" s="2225"/>
      <c r="I80" s="2356"/>
      <c r="J80" s="2358"/>
      <c r="K80" s="2351"/>
      <c r="L80" s="2306"/>
      <c r="M80" s="2351"/>
      <c r="N80" s="2356"/>
      <c r="O80" s="2368"/>
      <c r="P80" s="2371"/>
      <c r="Q80" s="2374"/>
      <c r="R80" s="2377"/>
      <c r="S80" s="129" t="s">
        <v>180</v>
      </c>
      <c r="T80" s="1924">
        <v>500000</v>
      </c>
      <c r="U80" s="127">
        <v>88</v>
      </c>
      <c r="V80" s="1635" t="s">
        <v>466</v>
      </c>
      <c r="W80" s="2366"/>
      <c r="X80" s="2366"/>
      <c r="Y80" s="2366"/>
      <c r="Z80" s="2366"/>
      <c r="AA80" s="2366"/>
      <c r="AB80" s="2366"/>
      <c r="AC80" s="2366"/>
      <c r="AD80" s="2366"/>
      <c r="AE80" s="2366"/>
      <c r="AF80" s="2366"/>
      <c r="AG80" s="2366"/>
      <c r="AH80" s="2366"/>
      <c r="AI80" s="2366"/>
      <c r="AJ80" s="2366"/>
      <c r="AK80" s="2366"/>
      <c r="AL80" s="2366"/>
      <c r="AM80" s="2379"/>
      <c r="AN80" s="2218"/>
      <c r="AO80" s="2254"/>
    </row>
    <row r="81" spans="3:41" ht="66.75" customHeight="1" x14ac:dyDescent="0.2">
      <c r="C81" s="115"/>
      <c r="D81" s="116"/>
      <c r="E81" s="121"/>
      <c r="F81" s="115"/>
      <c r="G81" s="2354"/>
      <c r="H81" s="2225"/>
      <c r="I81" s="2356"/>
      <c r="J81" s="2358"/>
      <c r="K81" s="2351"/>
      <c r="L81" s="2306"/>
      <c r="M81" s="2351"/>
      <c r="N81" s="2356"/>
      <c r="O81" s="2368"/>
      <c r="P81" s="2371"/>
      <c r="Q81" s="2374"/>
      <c r="R81" s="2377"/>
      <c r="S81" s="129" t="s">
        <v>181</v>
      </c>
      <c r="T81" s="1924">
        <v>500000</v>
      </c>
      <c r="U81" s="127">
        <v>88</v>
      </c>
      <c r="V81" s="1635" t="s">
        <v>466</v>
      </c>
      <c r="W81" s="2366"/>
      <c r="X81" s="2366"/>
      <c r="Y81" s="2366"/>
      <c r="Z81" s="2366"/>
      <c r="AA81" s="2366"/>
      <c r="AB81" s="2366"/>
      <c r="AC81" s="2366"/>
      <c r="AD81" s="2366"/>
      <c r="AE81" s="2366"/>
      <c r="AF81" s="2366"/>
      <c r="AG81" s="2366"/>
      <c r="AH81" s="2366"/>
      <c r="AI81" s="2366"/>
      <c r="AJ81" s="2366"/>
      <c r="AK81" s="2366"/>
      <c r="AL81" s="2366"/>
      <c r="AM81" s="2379"/>
      <c r="AN81" s="2218"/>
      <c r="AO81" s="2254"/>
    </row>
    <row r="82" spans="3:41" ht="63.75" customHeight="1" x14ac:dyDescent="0.2">
      <c r="C82" s="115"/>
      <c r="D82" s="116"/>
      <c r="E82" s="121"/>
      <c r="F82" s="115"/>
      <c r="G82" s="2354"/>
      <c r="H82" s="2225"/>
      <c r="I82" s="2356"/>
      <c r="J82" s="2358"/>
      <c r="K82" s="2351"/>
      <c r="L82" s="2306"/>
      <c r="M82" s="2351"/>
      <c r="N82" s="2356"/>
      <c r="O82" s="2368"/>
      <c r="P82" s="2371"/>
      <c r="Q82" s="2374"/>
      <c r="R82" s="2377"/>
      <c r="S82" s="129" t="s">
        <v>182</v>
      </c>
      <c r="T82" s="1924">
        <v>500000</v>
      </c>
      <c r="U82" s="127">
        <v>88</v>
      </c>
      <c r="V82" s="1635" t="s">
        <v>466</v>
      </c>
      <c r="W82" s="2366"/>
      <c r="X82" s="2366"/>
      <c r="Y82" s="2366"/>
      <c r="Z82" s="2366"/>
      <c r="AA82" s="2366"/>
      <c r="AB82" s="2366"/>
      <c r="AC82" s="2366"/>
      <c r="AD82" s="2366"/>
      <c r="AE82" s="2366"/>
      <c r="AF82" s="2366"/>
      <c r="AG82" s="2366"/>
      <c r="AH82" s="2366"/>
      <c r="AI82" s="2366"/>
      <c r="AJ82" s="2366"/>
      <c r="AK82" s="2366"/>
      <c r="AL82" s="2366"/>
      <c r="AM82" s="2379"/>
      <c r="AN82" s="2218"/>
      <c r="AO82" s="2254"/>
    </row>
    <row r="83" spans="3:41" ht="59.25" customHeight="1" x14ac:dyDescent="0.2">
      <c r="C83" s="115"/>
      <c r="D83" s="116"/>
      <c r="E83" s="121"/>
      <c r="F83" s="115"/>
      <c r="G83" s="2354"/>
      <c r="H83" s="2225"/>
      <c r="I83" s="2356"/>
      <c r="J83" s="2358"/>
      <c r="K83" s="2351"/>
      <c r="L83" s="2306"/>
      <c r="M83" s="2351"/>
      <c r="N83" s="2356"/>
      <c r="O83" s="2368"/>
      <c r="P83" s="2371"/>
      <c r="Q83" s="2374"/>
      <c r="R83" s="2377"/>
      <c r="S83" s="129" t="s">
        <v>183</v>
      </c>
      <c r="T83" s="1924">
        <v>500000</v>
      </c>
      <c r="U83" s="127">
        <v>88</v>
      </c>
      <c r="V83" s="1635" t="s">
        <v>466</v>
      </c>
      <c r="W83" s="2366"/>
      <c r="X83" s="2366"/>
      <c r="Y83" s="2366"/>
      <c r="Z83" s="2366"/>
      <c r="AA83" s="2366"/>
      <c r="AB83" s="2366"/>
      <c r="AC83" s="2366"/>
      <c r="AD83" s="2366"/>
      <c r="AE83" s="2366"/>
      <c r="AF83" s="2366"/>
      <c r="AG83" s="2366"/>
      <c r="AH83" s="2366"/>
      <c r="AI83" s="2366"/>
      <c r="AJ83" s="2366"/>
      <c r="AK83" s="2366"/>
      <c r="AL83" s="2366"/>
      <c r="AM83" s="2379"/>
      <c r="AN83" s="2218"/>
      <c r="AO83" s="2254"/>
    </row>
    <row r="84" spans="3:41" ht="59.25" customHeight="1" x14ac:dyDescent="0.2">
      <c r="C84" s="115"/>
      <c r="D84" s="116"/>
      <c r="E84" s="121"/>
      <c r="F84" s="115"/>
      <c r="G84" s="2354"/>
      <c r="H84" s="2225"/>
      <c r="I84" s="2356"/>
      <c r="J84" s="2358"/>
      <c r="K84" s="2351"/>
      <c r="L84" s="2306"/>
      <c r="M84" s="2351"/>
      <c r="N84" s="2356"/>
      <c r="O84" s="2368"/>
      <c r="P84" s="2371"/>
      <c r="Q84" s="2374"/>
      <c r="R84" s="2377"/>
      <c r="S84" s="129" t="s">
        <v>184</v>
      </c>
      <c r="T84" s="1924">
        <v>500000</v>
      </c>
      <c r="U84" s="127">
        <v>88</v>
      </c>
      <c r="V84" s="1635" t="s">
        <v>466</v>
      </c>
      <c r="W84" s="2366"/>
      <c r="X84" s="2366"/>
      <c r="Y84" s="2366"/>
      <c r="Z84" s="2366"/>
      <c r="AA84" s="2366"/>
      <c r="AB84" s="2366"/>
      <c r="AC84" s="2366"/>
      <c r="AD84" s="2366"/>
      <c r="AE84" s="2366"/>
      <c r="AF84" s="2366"/>
      <c r="AG84" s="2366"/>
      <c r="AH84" s="2366"/>
      <c r="AI84" s="2366"/>
      <c r="AJ84" s="2366"/>
      <c r="AK84" s="2366"/>
      <c r="AL84" s="2366"/>
      <c r="AM84" s="2379"/>
      <c r="AN84" s="2218"/>
      <c r="AO84" s="2254"/>
    </row>
    <row r="85" spans="3:41" ht="54.75" customHeight="1" x14ac:dyDescent="0.2">
      <c r="C85" s="115"/>
      <c r="D85" s="116"/>
      <c r="E85" s="121"/>
      <c r="F85" s="115"/>
      <c r="G85" s="2354"/>
      <c r="H85" s="2225"/>
      <c r="I85" s="2356"/>
      <c r="J85" s="2358"/>
      <c r="K85" s="2351"/>
      <c r="L85" s="2306"/>
      <c r="M85" s="2351"/>
      <c r="N85" s="2356"/>
      <c r="O85" s="2368"/>
      <c r="P85" s="2371"/>
      <c r="Q85" s="2374"/>
      <c r="R85" s="2377"/>
      <c r="S85" s="129" t="s">
        <v>185</v>
      </c>
      <c r="T85" s="1924">
        <v>500000</v>
      </c>
      <c r="U85" s="127">
        <v>88</v>
      </c>
      <c r="V85" s="1635" t="s">
        <v>466</v>
      </c>
      <c r="W85" s="2366"/>
      <c r="X85" s="2366"/>
      <c r="Y85" s="2366"/>
      <c r="Z85" s="2366"/>
      <c r="AA85" s="2366"/>
      <c r="AB85" s="2366"/>
      <c r="AC85" s="2366"/>
      <c r="AD85" s="2366"/>
      <c r="AE85" s="2366"/>
      <c r="AF85" s="2366"/>
      <c r="AG85" s="2366"/>
      <c r="AH85" s="2366"/>
      <c r="AI85" s="2366"/>
      <c r="AJ85" s="2366"/>
      <c r="AK85" s="2366"/>
      <c r="AL85" s="2366"/>
      <c r="AM85" s="2379"/>
      <c r="AN85" s="2218"/>
      <c r="AO85" s="2254"/>
    </row>
    <row r="86" spans="3:41" ht="62.25" customHeight="1" x14ac:dyDescent="0.2">
      <c r="C86" s="115"/>
      <c r="D86" s="116"/>
      <c r="E86" s="121"/>
      <c r="F86" s="115"/>
      <c r="G86" s="2354"/>
      <c r="H86" s="2225"/>
      <c r="I86" s="2356"/>
      <c r="J86" s="2358"/>
      <c r="K86" s="2351"/>
      <c r="L86" s="2306"/>
      <c r="M86" s="2351"/>
      <c r="N86" s="2356"/>
      <c r="O86" s="2368"/>
      <c r="P86" s="2371"/>
      <c r="Q86" s="2374"/>
      <c r="R86" s="2377"/>
      <c r="S86" s="102" t="s">
        <v>186</v>
      </c>
      <c r="T86" s="1924">
        <v>1500000</v>
      </c>
      <c r="U86" s="127">
        <v>88</v>
      </c>
      <c r="V86" s="1635" t="s">
        <v>466</v>
      </c>
      <c r="W86" s="2366"/>
      <c r="X86" s="2366"/>
      <c r="Y86" s="2366"/>
      <c r="Z86" s="2366"/>
      <c r="AA86" s="2366"/>
      <c r="AB86" s="2366"/>
      <c r="AC86" s="2366"/>
      <c r="AD86" s="2366"/>
      <c r="AE86" s="2366"/>
      <c r="AF86" s="2366"/>
      <c r="AG86" s="2366"/>
      <c r="AH86" s="2366"/>
      <c r="AI86" s="2366"/>
      <c r="AJ86" s="2366"/>
      <c r="AK86" s="2366"/>
      <c r="AL86" s="2366"/>
      <c r="AM86" s="2379"/>
      <c r="AN86" s="2218"/>
      <c r="AO86" s="2254"/>
    </row>
    <row r="87" spans="3:41" ht="56.25" customHeight="1" x14ac:dyDescent="0.2">
      <c r="C87" s="115"/>
      <c r="D87" s="116"/>
      <c r="E87" s="121"/>
      <c r="F87" s="115"/>
      <c r="G87" s="2354"/>
      <c r="H87" s="2225"/>
      <c r="I87" s="2356"/>
      <c r="J87" s="2358"/>
      <c r="K87" s="2351"/>
      <c r="L87" s="2306"/>
      <c r="M87" s="2351"/>
      <c r="N87" s="2356"/>
      <c r="O87" s="2368"/>
      <c r="P87" s="2371"/>
      <c r="Q87" s="2374"/>
      <c r="R87" s="2377"/>
      <c r="S87" s="102" t="s">
        <v>187</v>
      </c>
      <c r="T87" s="1924">
        <v>600000</v>
      </c>
      <c r="U87" s="127">
        <v>88</v>
      </c>
      <c r="V87" s="1635" t="s">
        <v>466</v>
      </c>
      <c r="W87" s="2366"/>
      <c r="X87" s="2366"/>
      <c r="Y87" s="2366"/>
      <c r="Z87" s="2366"/>
      <c r="AA87" s="2366"/>
      <c r="AB87" s="2366"/>
      <c r="AC87" s="2366"/>
      <c r="AD87" s="2366"/>
      <c r="AE87" s="2366"/>
      <c r="AF87" s="2366"/>
      <c r="AG87" s="2366"/>
      <c r="AH87" s="2366"/>
      <c r="AI87" s="2366"/>
      <c r="AJ87" s="2366"/>
      <c r="AK87" s="2366"/>
      <c r="AL87" s="2366"/>
      <c r="AM87" s="2379"/>
      <c r="AN87" s="2218"/>
      <c r="AO87" s="2254"/>
    </row>
    <row r="88" spans="3:41" ht="56.25" customHeight="1" x14ac:dyDescent="0.2">
      <c r="C88" s="115"/>
      <c r="D88" s="116"/>
      <c r="E88" s="121"/>
      <c r="F88" s="115"/>
      <c r="G88" s="2354"/>
      <c r="H88" s="2225"/>
      <c r="I88" s="2356"/>
      <c r="J88" s="2358"/>
      <c r="K88" s="2351"/>
      <c r="L88" s="2306"/>
      <c r="M88" s="2351"/>
      <c r="N88" s="2356"/>
      <c r="O88" s="2368"/>
      <c r="P88" s="2371"/>
      <c r="Q88" s="2374"/>
      <c r="R88" s="2377"/>
      <c r="S88" s="102" t="s">
        <v>188</v>
      </c>
      <c r="T88" s="1924">
        <v>1500000</v>
      </c>
      <c r="U88" s="127">
        <v>88</v>
      </c>
      <c r="V88" s="1635" t="s">
        <v>466</v>
      </c>
      <c r="W88" s="2366"/>
      <c r="X88" s="2366"/>
      <c r="Y88" s="2366"/>
      <c r="Z88" s="2366"/>
      <c r="AA88" s="2366"/>
      <c r="AB88" s="2366"/>
      <c r="AC88" s="2366"/>
      <c r="AD88" s="2366"/>
      <c r="AE88" s="2366"/>
      <c r="AF88" s="2366"/>
      <c r="AG88" s="2366"/>
      <c r="AH88" s="2366"/>
      <c r="AI88" s="2366"/>
      <c r="AJ88" s="2366"/>
      <c r="AK88" s="2366"/>
      <c r="AL88" s="2366"/>
      <c r="AM88" s="2379"/>
      <c r="AN88" s="2218"/>
      <c r="AO88" s="2254"/>
    </row>
    <row r="89" spans="3:41" ht="56.25" customHeight="1" x14ac:dyDescent="0.2">
      <c r="C89" s="115"/>
      <c r="D89" s="116"/>
      <c r="E89" s="121"/>
      <c r="F89" s="115"/>
      <c r="G89" s="2354"/>
      <c r="H89" s="2225"/>
      <c r="I89" s="2356"/>
      <c r="J89" s="2358"/>
      <c r="K89" s="2351"/>
      <c r="L89" s="2306"/>
      <c r="M89" s="2351"/>
      <c r="N89" s="2356"/>
      <c r="O89" s="2368"/>
      <c r="P89" s="2371"/>
      <c r="Q89" s="2374"/>
      <c r="R89" s="2377"/>
      <c r="S89" s="102" t="s">
        <v>189</v>
      </c>
      <c r="T89" s="1925">
        <v>600000</v>
      </c>
      <c r="U89" s="127">
        <v>88</v>
      </c>
      <c r="V89" s="1635" t="s">
        <v>466</v>
      </c>
      <c r="W89" s="2366"/>
      <c r="X89" s="2366"/>
      <c r="Y89" s="2366"/>
      <c r="Z89" s="2366"/>
      <c r="AA89" s="2366"/>
      <c r="AB89" s="2366"/>
      <c r="AC89" s="2366"/>
      <c r="AD89" s="2366"/>
      <c r="AE89" s="2366"/>
      <c r="AF89" s="2366"/>
      <c r="AG89" s="2366"/>
      <c r="AH89" s="2366"/>
      <c r="AI89" s="2366"/>
      <c r="AJ89" s="2366"/>
      <c r="AK89" s="2366"/>
      <c r="AL89" s="2366"/>
      <c r="AM89" s="2379"/>
      <c r="AN89" s="2218"/>
      <c r="AO89" s="2254"/>
    </row>
    <row r="90" spans="3:41" ht="56.25" customHeight="1" x14ac:dyDescent="0.2">
      <c r="C90" s="115"/>
      <c r="D90" s="116"/>
      <c r="E90" s="121"/>
      <c r="F90" s="115"/>
      <c r="G90" s="2354"/>
      <c r="H90" s="2225"/>
      <c r="I90" s="2356"/>
      <c r="J90" s="2358"/>
      <c r="K90" s="2351"/>
      <c r="L90" s="2306"/>
      <c r="M90" s="2351"/>
      <c r="N90" s="2356"/>
      <c r="O90" s="2368"/>
      <c r="P90" s="2371"/>
      <c r="Q90" s="2374"/>
      <c r="R90" s="2377"/>
      <c r="S90" s="106" t="s">
        <v>190</v>
      </c>
      <c r="T90" s="1910">
        <v>3000000</v>
      </c>
      <c r="U90" s="127">
        <v>88</v>
      </c>
      <c r="V90" s="1635" t="s">
        <v>466</v>
      </c>
      <c r="W90" s="2366"/>
      <c r="X90" s="2366"/>
      <c r="Y90" s="2366"/>
      <c r="Z90" s="2366"/>
      <c r="AA90" s="2366"/>
      <c r="AB90" s="2366"/>
      <c r="AC90" s="2366"/>
      <c r="AD90" s="2366"/>
      <c r="AE90" s="2366"/>
      <c r="AF90" s="2366"/>
      <c r="AG90" s="2366"/>
      <c r="AH90" s="2366"/>
      <c r="AI90" s="2366"/>
      <c r="AJ90" s="2366"/>
      <c r="AK90" s="2366"/>
      <c r="AL90" s="2366"/>
      <c r="AM90" s="2379"/>
      <c r="AN90" s="2218"/>
      <c r="AO90" s="2254"/>
    </row>
    <row r="91" spans="3:41" ht="81" customHeight="1" x14ac:dyDescent="0.2">
      <c r="C91" s="115"/>
      <c r="D91" s="116"/>
      <c r="E91" s="121"/>
      <c r="F91" s="115"/>
      <c r="G91" s="2354"/>
      <c r="H91" s="2225"/>
      <c r="I91" s="2356"/>
      <c r="J91" s="2358"/>
      <c r="K91" s="2351"/>
      <c r="L91" s="2306"/>
      <c r="M91" s="2351"/>
      <c r="N91" s="2356"/>
      <c r="O91" s="2368"/>
      <c r="P91" s="2371"/>
      <c r="Q91" s="2374"/>
      <c r="R91" s="2377"/>
      <c r="S91" s="106" t="s">
        <v>191</v>
      </c>
      <c r="T91" s="1910">
        <v>1500000</v>
      </c>
      <c r="U91" s="127">
        <v>88</v>
      </c>
      <c r="V91" s="1635" t="s">
        <v>466</v>
      </c>
      <c r="W91" s="2366"/>
      <c r="X91" s="2366"/>
      <c r="Y91" s="2366"/>
      <c r="Z91" s="2366"/>
      <c r="AA91" s="2366"/>
      <c r="AB91" s="2366"/>
      <c r="AC91" s="2366"/>
      <c r="AD91" s="2366"/>
      <c r="AE91" s="2366"/>
      <c r="AF91" s="2366"/>
      <c r="AG91" s="2366"/>
      <c r="AH91" s="2366"/>
      <c r="AI91" s="2366"/>
      <c r="AJ91" s="2366"/>
      <c r="AK91" s="2366"/>
      <c r="AL91" s="2366"/>
      <c r="AM91" s="2379"/>
      <c r="AN91" s="2218"/>
      <c r="AO91" s="2254"/>
    </row>
    <row r="92" spans="3:41" ht="81" customHeight="1" x14ac:dyDescent="0.2">
      <c r="C92" s="115"/>
      <c r="D92" s="116"/>
      <c r="E92" s="121"/>
      <c r="F92" s="115"/>
      <c r="G92" s="2354"/>
      <c r="H92" s="2225"/>
      <c r="I92" s="2356"/>
      <c r="J92" s="2358"/>
      <c r="K92" s="2351"/>
      <c r="L92" s="2306"/>
      <c r="M92" s="2351"/>
      <c r="N92" s="2356"/>
      <c r="O92" s="2368"/>
      <c r="P92" s="2371"/>
      <c r="Q92" s="2374"/>
      <c r="R92" s="2377"/>
      <c r="S92" s="106" t="s">
        <v>192</v>
      </c>
      <c r="T92" s="1910">
        <v>800000</v>
      </c>
      <c r="U92" s="127">
        <v>88</v>
      </c>
      <c r="V92" s="1635" t="s">
        <v>466</v>
      </c>
      <c r="W92" s="2366"/>
      <c r="X92" s="2366"/>
      <c r="Y92" s="2366"/>
      <c r="Z92" s="2366"/>
      <c r="AA92" s="2366"/>
      <c r="AB92" s="2366"/>
      <c r="AC92" s="2366"/>
      <c r="AD92" s="2366"/>
      <c r="AE92" s="2366"/>
      <c r="AF92" s="2366"/>
      <c r="AG92" s="2366"/>
      <c r="AH92" s="2366"/>
      <c r="AI92" s="2366"/>
      <c r="AJ92" s="2366"/>
      <c r="AK92" s="2366"/>
      <c r="AL92" s="2366"/>
      <c r="AM92" s="2379"/>
      <c r="AN92" s="2218"/>
      <c r="AO92" s="2254"/>
    </row>
    <row r="93" spans="3:41" ht="81" customHeight="1" x14ac:dyDescent="0.2">
      <c r="C93" s="115"/>
      <c r="D93" s="116"/>
      <c r="E93" s="121"/>
      <c r="F93" s="115"/>
      <c r="G93" s="2354"/>
      <c r="H93" s="2225"/>
      <c r="I93" s="2356"/>
      <c r="J93" s="2358"/>
      <c r="K93" s="2351"/>
      <c r="L93" s="2306"/>
      <c r="M93" s="2351"/>
      <c r="N93" s="2356"/>
      <c r="O93" s="2368"/>
      <c r="P93" s="2371"/>
      <c r="Q93" s="2374"/>
      <c r="R93" s="2377"/>
      <c r="S93" s="106" t="s">
        <v>193</v>
      </c>
      <c r="T93" s="1910">
        <v>1500000</v>
      </c>
      <c r="U93" s="127">
        <v>88</v>
      </c>
      <c r="V93" s="1635" t="s">
        <v>466</v>
      </c>
      <c r="W93" s="2366"/>
      <c r="X93" s="2366"/>
      <c r="Y93" s="2366"/>
      <c r="Z93" s="2366"/>
      <c r="AA93" s="2366"/>
      <c r="AB93" s="2366"/>
      <c r="AC93" s="2366"/>
      <c r="AD93" s="2366"/>
      <c r="AE93" s="2366"/>
      <c r="AF93" s="2366"/>
      <c r="AG93" s="2366"/>
      <c r="AH93" s="2366"/>
      <c r="AI93" s="2366"/>
      <c r="AJ93" s="2366"/>
      <c r="AK93" s="2366"/>
      <c r="AL93" s="2366"/>
      <c r="AM93" s="2379"/>
      <c r="AN93" s="2218"/>
      <c r="AO93" s="2254"/>
    </row>
    <row r="94" spans="3:41" ht="81" customHeight="1" x14ac:dyDescent="0.2">
      <c r="C94" s="115"/>
      <c r="D94" s="116"/>
      <c r="E94" s="121"/>
      <c r="F94" s="115"/>
      <c r="G94" s="2354"/>
      <c r="H94" s="2225"/>
      <c r="I94" s="2356"/>
      <c r="J94" s="2358"/>
      <c r="K94" s="2351"/>
      <c r="L94" s="2306"/>
      <c r="M94" s="2351"/>
      <c r="N94" s="2356"/>
      <c r="O94" s="2368"/>
      <c r="P94" s="2371"/>
      <c r="Q94" s="2374"/>
      <c r="R94" s="2377"/>
      <c r="S94" s="106" t="s">
        <v>194</v>
      </c>
      <c r="T94" s="1910">
        <v>2000000</v>
      </c>
      <c r="U94" s="127">
        <v>88</v>
      </c>
      <c r="V94" s="1635" t="s">
        <v>466</v>
      </c>
      <c r="W94" s="2366"/>
      <c r="X94" s="2366"/>
      <c r="Y94" s="2366"/>
      <c r="Z94" s="2366"/>
      <c r="AA94" s="2366"/>
      <c r="AB94" s="2366"/>
      <c r="AC94" s="2366"/>
      <c r="AD94" s="2366"/>
      <c r="AE94" s="2366"/>
      <c r="AF94" s="2366"/>
      <c r="AG94" s="2366"/>
      <c r="AH94" s="2366"/>
      <c r="AI94" s="2366"/>
      <c r="AJ94" s="2366"/>
      <c r="AK94" s="2366"/>
      <c r="AL94" s="2366"/>
      <c r="AM94" s="2379"/>
      <c r="AN94" s="2218"/>
      <c r="AO94" s="2254"/>
    </row>
    <row r="95" spans="3:41" ht="81" customHeight="1" x14ac:dyDescent="0.2">
      <c r="C95" s="115"/>
      <c r="D95" s="116"/>
      <c r="E95" s="121"/>
      <c r="F95" s="115"/>
      <c r="G95" s="2354"/>
      <c r="H95" s="2225"/>
      <c r="I95" s="2356"/>
      <c r="J95" s="2358"/>
      <c r="K95" s="2351"/>
      <c r="L95" s="2306"/>
      <c r="M95" s="2351"/>
      <c r="N95" s="2356"/>
      <c r="O95" s="2368"/>
      <c r="P95" s="2371"/>
      <c r="Q95" s="2374"/>
      <c r="R95" s="2377"/>
      <c r="S95" s="106" t="s">
        <v>195</v>
      </c>
      <c r="T95" s="1910">
        <v>2000000</v>
      </c>
      <c r="U95" s="127">
        <v>88</v>
      </c>
      <c r="V95" s="1635" t="s">
        <v>466</v>
      </c>
      <c r="W95" s="2366"/>
      <c r="X95" s="2366"/>
      <c r="Y95" s="2366"/>
      <c r="Z95" s="2366"/>
      <c r="AA95" s="2366"/>
      <c r="AB95" s="2366"/>
      <c r="AC95" s="2366"/>
      <c r="AD95" s="2366"/>
      <c r="AE95" s="2366"/>
      <c r="AF95" s="2366"/>
      <c r="AG95" s="2366"/>
      <c r="AH95" s="2366"/>
      <c r="AI95" s="2366"/>
      <c r="AJ95" s="2366"/>
      <c r="AK95" s="2366"/>
      <c r="AL95" s="2366"/>
      <c r="AM95" s="2379"/>
      <c r="AN95" s="2218"/>
      <c r="AO95" s="2254"/>
    </row>
    <row r="96" spans="3:41" ht="81" customHeight="1" x14ac:dyDescent="0.2">
      <c r="C96" s="115"/>
      <c r="D96" s="116"/>
      <c r="E96" s="121"/>
      <c r="F96" s="115"/>
      <c r="G96" s="2354"/>
      <c r="H96" s="2225"/>
      <c r="I96" s="2356"/>
      <c r="J96" s="2358"/>
      <c r="K96" s="2351"/>
      <c r="L96" s="2306"/>
      <c r="M96" s="2351"/>
      <c r="N96" s="2356"/>
      <c r="O96" s="2368"/>
      <c r="P96" s="2371"/>
      <c r="Q96" s="2374"/>
      <c r="R96" s="2377"/>
      <c r="S96" s="106" t="s">
        <v>196</v>
      </c>
      <c r="T96" s="1910">
        <v>1500000</v>
      </c>
      <c r="U96" s="127">
        <v>88</v>
      </c>
      <c r="V96" s="1635" t="s">
        <v>466</v>
      </c>
      <c r="W96" s="2366"/>
      <c r="X96" s="2366"/>
      <c r="Y96" s="2366"/>
      <c r="Z96" s="2366"/>
      <c r="AA96" s="2366"/>
      <c r="AB96" s="2366"/>
      <c r="AC96" s="2366"/>
      <c r="AD96" s="2366"/>
      <c r="AE96" s="2366"/>
      <c r="AF96" s="2366"/>
      <c r="AG96" s="2366"/>
      <c r="AH96" s="2366"/>
      <c r="AI96" s="2366"/>
      <c r="AJ96" s="2366"/>
      <c r="AK96" s="2366"/>
      <c r="AL96" s="2366"/>
      <c r="AM96" s="2379"/>
      <c r="AN96" s="2218"/>
      <c r="AO96" s="2254"/>
    </row>
    <row r="97" spans="1:41" ht="81" customHeight="1" x14ac:dyDescent="0.2">
      <c r="C97" s="115"/>
      <c r="D97" s="116"/>
      <c r="E97" s="121"/>
      <c r="F97" s="115"/>
      <c r="G97" s="2354"/>
      <c r="H97" s="2225"/>
      <c r="I97" s="2356"/>
      <c r="J97" s="2358"/>
      <c r="K97" s="2351"/>
      <c r="L97" s="2306"/>
      <c r="M97" s="2351"/>
      <c r="N97" s="2356"/>
      <c r="O97" s="2368"/>
      <c r="P97" s="2371"/>
      <c r="Q97" s="2374"/>
      <c r="R97" s="2377"/>
      <c r="S97" s="106" t="s">
        <v>197</v>
      </c>
      <c r="T97" s="1910">
        <v>1500000</v>
      </c>
      <c r="U97" s="127">
        <v>88</v>
      </c>
      <c r="V97" s="1635" t="s">
        <v>466</v>
      </c>
      <c r="W97" s="2366"/>
      <c r="X97" s="2366"/>
      <c r="Y97" s="2366"/>
      <c r="Z97" s="2366"/>
      <c r="AA97" s="2366"/>
      <c r="AB97" s="2366"/>
      <c r="AC97" s="2366"/>
      <c r="AD97" s="2366"/>
      <c r="AE97" s="2366"/>
      <c r="AF97" s="2366"/>
      <c r="AG97" s="2366"/>
      <c r="AH97" s="2366"/>
      <c r="AI97" s="2366"/>
      <c r="AJ97" s="2366"/>
      <c r="AK97" s="2366"/>
      <c r="AL97" s="2366"/>
      <c r="AM97" s="2379"/>
      <c r="AN97" s="2218"/>
      <c r="AO97" s="2254"/>
    </row>
    <row r="98" spans="1:41" ht="81" customHeight="1" x14ac:dyDescent="0.2">
      <c r="C98" s="115"/>
      <c r="D98" s="116"/>
      <c r="E98" s="121"/>
      <c r="F98" s="115"/>
      <c r="G98" s="2354"/>
      <c r="H98" s="2225"/>
      <c r="I98" s="2356"/>
      <c r="J98" s="2358"/>
      <c r="K98" s="2351"/>
      <c r="L98" s="2306"/>
      <c r="M98" s="2351"/>
      <c r="N98" s="2356"/>
      <c r="O98" s="2368"/>
      <c r="P98" s="2371"/>
      <c r="Q98" s="2374"/>
      <c r="R98" s="2377"/>
      <c r="S98" s="106" t="s">
        <v>198</v>
      </c>
      <c r="T98" s="1910">
        <v>1500000</v>
      </c>
      <c r="U98" s="127">
        <v>88</v>
      </c>
      <c r="V98" s="1635" t="s">
        <v>466</v>
      </c>
      <c r="W98" s="2366"/>
      <c r="X98" s="2366"/>
      <c r="Y98" s="2366"/>
      <c r="Z98" s="2366"/>
      <c r="AA98" s="2366"/>
      <c r="AB98" s="2366"/>
      <c r="AC98" s="2366"/>
      <c r="AD98" s="2366"/>
      <c r="AE98" s="2366"/>
      <c r="AF98" s="2366"/>
      <c r="AG98" s="2366"/>
      <c r="AH98" s="2366"/>
      <c r="AI98" s="2366"/>
      <c r="AJ98" s="2366"/>
      <c r="AK98" s="2366"/>
      <c r="AL98" s="2366"/>
      <c r="AM98" s="2379"/>
      <c r="AN98" s="2218"/>
      <c r="AO98" s="2254"/>
    </row>
    <row r="99" spans="1:41" ht="81" customHeight="1" x14ac:dyDescent="0.2">
      <c r="C99" s="115"/>
      <c r="D99" s="116"/>
      <c r="E99" s="121"/>
      <c r="F99" s="115"/>
      <c r="G99" s="2354"/>
      <c r="H99" s="2225"/>
      <c r="I99" s="2356"/>
      <c r="J99" s="2358"/>
      <c r="K99" s="2351"/>
      <c r="L99" s="2306"/>
      <c r="M99" s="2351"/>
      <c r="N99" s="2356"/>
      <c r="O99" s="2368"/>
      <c r="P99" s="2371"/>
      <c r="Q99" s="2374"/>
      <c r="R99" s="2377"/>
      <c r="S99" s="106" t="s">
        <v>199</v>
      </c>
      <c r="T99" s="1910">
        <v>2000000</v>
      </c>
      <c r="U99" s="127">
        <v>88</v>
      </c>
      <c r="V99" s="1635" t="s">
        <v>466</v>
      </c>
      <c r="W99" s="2366"/>
      <c r="X99" s="2366"/>
      <c r="Y99" s="2366"/>
      <c r="Z99" s="2366"/>
      <c r="AA99" s="2366"/>
      <c r="AB99" s="2366"/>
      <c r="AC99" s="2366"/>
      <c r="AD99" s="2366"/>
      <c r="AE99" s="2366"/>
      <c r="AF99" s="2366"/>
      <c r="AG99" s="2366"/>
      <c r="AH99" s="2366"/>
      <c r="AI99" s="2366"/>
      <c r="AJ99" s="2366"/>
      <c r="AK99" s="2366"/>
      <c r="AL99" s="2366"/>
      <c r="AM99" s="2379"/>
      <c r="AN99" s="2218"/>
      <c r="AO99" s="2254"/>
    </row>
    <row r="100" spans="1:41" ht="81" customHeight="1" x14ac:dyDescent="0.2">
      <c r="C100" s="115"/>
      <c r="D100" s="116"/>
      <c r="E100" s="121"/>
      <c r="F100" s="115"/>
      <c r="G100" s="2354"/>
      <c r="H100" s="2225"/>
      <c r="I100" s="2356"/>
      <c r="J100" s="2358"/>
      <c r="K100" s="2351"/>
      <c r="L100" s="2306"/>
      <c r="M100" s="2351"/>
      <c r="N100" s="2356"/>
      <c r="O100" s="2368"/>
      <c r="P100" s="2371"/>
      <c r="Q100" s="2374"/>
      <c r="R100" s="2377"/>
      <c r="S100" s="106" t="s">
        <v>200</v>
      </c>
      <c r="T100" s="1910">
        <v>2500000</v>
      </c>
      <c r="U100" s="127">
        <v>88</v>
      </c>
      <c r="V100" s="1635" t="s">
        <v>466</v>
      </c>
      <c r="W100" s="2366"/>
      <c r="X100" s="2366"/>
      <c r="Y100" s="2366"/>
      <c r="Z100" s="2366"/>
      <c r="AA100" s="2366"/>
      <c r="AB100" s="2366"/>
      <c r="AC100" s="2366"/>
      <c r="AD100" s="2366"/>
      <c r="AE100" s="2366"/>
      <c r="AF100" s="2366"/>
      <c r="AG100" s="2366"/>
      <c r="AH100" s="2366"/>
      <c r="AI100" s="2366"/>
      <c r="AJ100" s="2366"/>
      <c r="AK100" s="2366"/>
      <c r="AL100" s="2366"/>
      <c r="AM100" s="2379"/>
      <c r="AN100" s="2218"/>
      <c r="AO100" s="2254"/>
    </row>
    <row r="101" spans="1:41" ht="81" customHeight="1" x14ac:dyDescent="0.2">
      <c r="C101" s="115"/>
      <c r="D101" s="116"/>
      <c r="E101" s="121"/>
      <c r="F101" s="115"/>
      <c r="G101" s="2354"/>
      <c r="H101" s="2225"/>
      <c r="I101" s="2356"/>
      <c r="J101" s="2358"/>
      <c r="K101" s="2351"/>
      <c r="L101" s="2306"/>
      <c r="M101" s="2351"/>
      <c r="N101" s="2356"/>
      <c r="O101" s="2368"/>
      <c r="P101" s="2371"/>
      <c r="Q101" s="2374"/>
      <c r="R101" s="2377"/>
      <c r="S101" s="130" t="s">
        <v>201</v>
      </c>
      <c r="T101" s="1926">
        <v>2000000</v>
      </c>
      <c r="U101" s="127">
        <v>88</v>
      </c>
      <c r="V101" s="1635" t="s">
        <v>466</v>
      </c>
      <c r="W101" s="2366"/>
      <c r="X101" s="2366"/>
      <c r="Y101" s="2366"/>
      <c r="Z101" s="2366"/>
      <c r="AA101" s="2366"/>
      <c r="AB101" s="2366"/>
      <c r="AC101" s="2366"/>
      <c r="AD101" s="2366"/>
      <c r="AE101" s="2366"/>
      <c r="AF101" s="2366"/>
      <c r="AG101" s="2366"/>
      <c r="AH101" s="2366"/>
      <c r="AI101" s="2366"/>
      <c r="AJ101" s="2366"/>
      <c r="AK101" s="2366"/>
      <c r="AL101" s="2366"/>
      <c r="AM101" s="2379"/>
      <c r="AN101" s="2218"/>
      <c r="AO101" s="2254"/>
    </row>
    <row r="102" spans="1:41" ht="81" customHeight="1" x14ac:dyDescent="0.2">
      <c r="C102" s="115"/>
      <c r="D102" s="116"/>
      <c r="E102" s="121"/>
      <c r="F102" s="115"/>
      <c r="G102" s="2354"/>
      <c r="H102" s="2225"/>
      <c r="I102" s="2356"/>
      <c r="J102" s="2358"/>
      <c r="K102" s="2351"/>
      <c r="L102" s="2306"/>
      <c r="M102" s="2351"/>
      <c r="N102" s="2356"/>
      <c r="O102" s="2368"/>
      <c r="P102" s="2371"/>
      <c r="Q102" s="2374"/>
      <c r="R102" s="2377"/>
      <c r="S102" s="102" t="s">
        <v>202</v>
      </c>
      <c r="T102" s="1924">
        <v>2000000</v>
      </c>
      <c r="U102" s="127">
        <v>88</v>
      </c>
      <c r="V102" s="1635" t="s">
        <v>466</v>
      </c>
      <c r="W102" s="2366"/>
      <c r="X102" s="2366"/>
      <c r="Y102" s="2366"/>
      <c r="Z102" s="2366"/>
      <c r="AA102" s="2366"/>
      <c r="AB102" s="2366"/>
      <c r="AC102" s="2366"/>
      <c r="AD102" s="2366"/>
      <c r="AE102" s="2366"/>
      <c r="AF102" s="2366"/>
      <c r="AG102" s="2366"/>
      <c r="AH102" s="2366"/>
      <c r="AI102" s="2366"/>
      <c r="AJ102" s="2366"/>
      <c r="AK102" s="2366"/>
      <c r="AL102" s="2366"/>
      <c r="AM102" s="2379"/>
      <c r="AN102" s="2218"/>
      <c r="AO102" s="2254"/>
    </row>
    <row r="103" spans="1:41" ht="81" customHeight="1" x14ac:dyDescent="0.2">
      <c r="C103" s="115"/>
      <c r="D103" s="116"/>
      <c r="E103" s="121"/>
      <c r="F103" s="115"/>
      <c r="G103" s="2354"/>
      <c r="H103" s="2225"/>
      <c r="I103" s="2356"/>
      <c r="J103" s="2358"/>
      <c r="K103" s="2351"/>
      <c r="L103" s="2306"/>
      <c r="M103" s="2351"/>
      <c r="N103" s="2356"/>
      <c r="O103" s="2368"/>
      <c r="P103" s="2371"/>
      <c r="Q103" s="2374"/>
      <c r="R103" s="2377"/>
      <c r="S103" s="130" t="s">
        <v>203</v>
      </c>
      <c r="T103" s="1925">
        <v>2000000</v>
      </c>
      <c r="U103" s="127">
        <v>88</v>
      </c>
      <c r="V103" s="1635" t="s">
        <v>466</v>
      </c>
      <c r="W103" s="2366"/>
      <c r="X103" s="2366"/>
      <c r="Y103" s="2366"/>
      <c r="Z103" s="2366"/>
      <c r="AA103" s="2366"/>
      <c r="AB103" s="2366"/>
      <c r="AC103" s="2366"/>
      <c r="AD103" s="2366"/>
      <c r="AE103" s="2366"/>
      <c r="AF103" s="2366"/>
      <c r="AG103" s="2366"/>
      <c r="AH103" s="2366"/>
      <c r="AI103" s="2366"/>
      <c r="AJ103" s="2366"/>
      <c r="AK103" s="2366"/>
      <c r="AL103" s="2366"/>
      <c r="AM103" s="2379"/>
      <c r="AN103" s="2218"/>
      <c r="AO103" s="2254"/>
    </row>
    <row r="104" spans="1:41" ht="81" customHeight="1" x14ac:dyDescent="0.2">
      <c r="C104" s="115"/>
      <c r="D104" s="116"/>
      <c r="E104" s="121"/>
      <c r="F104" s="115"/>
      <c r="G104" s="2354"/>
      <c r="H104" s="2225"/>
      <c r="I104" s="2356"/>
      <c r="J104" s="2358"/>
      <c r="K104" s="2351"/>
      <c r="L104" s="2306"/>
      <c r="M104" s="2351"/>
      <c r="N104" s="2356"/>
      <c r="O104" s="2368"/>
      <c r="P104" s="2371"/>
      <c r="Q104" s="2374"/>
      <c r="R104" s="2377"/>
      <c r="S104" s="102" t="s">
        <v>204</v>
      </c>
      <c r="T104" s="1924">
        <v>1200000</v>
      </c>
      <c r="U104" s="127">
        <v>88</v>
      </c>
      <c r="V104" s="1635" t="s">
        <v>466</v>
      </c>
      <c r="W104" s="2366"/>
      <c r="X104" s="2366"/>
      <c r="Y104" s="2366"/>
      <c r="Z104" s="2366"/>
      <c r="AA104" s="2366"/>
      <c r="AB104" s="2366"/>
      <c r="AC104" s="2366"/>
      <c r="AD104" s="2366"/>
      <c r="AE104" s="2366"/>
      <c r="AF104" s="2366"/>
      <c r="AG104" s="2366"/>
      <c r="AH104" s="2366"/>
      <c r="AI104" s="2366"/>
      <c r="AJ104" s="2366"/>
      <c r="AK104" s="2366"/>
      <c r="AL104" s="2366"/>
      <c r="AM104" s="2379"/>
      <c r="AN104" s="2218"/>
      <c r="AO104" s="2254"/>
    </row>
    <row r="105" spans="1:41" ht="81" customHeight="1" x14ac:dyDescent="0.2">
      <c r="C105" s="115"/>
      <c r="D105" s="116"/>
      <c r="E105" s="121"/>
      <c r="F105" s="115"/>
      <c r="G105" s="2354"/>
      <c r="H105" s="2225"/>
      <c r="I105" s="2356"/>
      <c r="J105" s="2358"/>
      <c r="K105" s="2351"/>
      <c r="L105" s="2306"/>
      <c r="M105" s="2351"/>
      <c r="N105" s="2356"/>
      <c r="O105" s="2368"/>
      <c r="P105" s="2371"/>
      <c r="Q105" s="2374"/>
      <c r="R105" s="2377"/>
      <c r="S105" s="102" t="s">
        <v>205</v>
      </c>
      <c r="T105" s="1924">
        <v>1300000</v>
      </c>
      <c r="U105" s="127">
        <v>88</v>
      </c>
      <c r="V105" s="1635" t="s">
        <v>466</v>
      </c>
      <c r="W105" s="2366"/>
      <c r="X105" s="2366"/>
      <c r="Y105" s="2366"/>
      <c r="Z105" s="2366"/>
      <c r="AA105" s="2366"/>
      <c r="AB105" s="2366"/>
      <c r="AC105" s="2366"/>
      <c r="AD105" s="2366"/>
      <c r="AE105" s="2366"/>
      <c r="AF105" s="2366"/>
      <c r="AG105" s="2366"/>
      <c r="AH105" s="2366"/>
      <c r="AI105" s="2366"/>
      <c r="AJ105" s="2366"/>
      <c r="AK105" s="2366"/>
      <c r="AL105" s="2366"/>
      <c r="AM105" s="2379"/>
      <c r="AN105" s="2218"/>
      <c r="AO105" s="2254"/>
    </row>
    <row r="106" spans="1:41" ht="81" customHeight="1" x14ac:dyDescent="0.2">
      <c r="C106" s="115"/>
      <c r="D106" s="116"/>
      <c r="E106" s="121"/>
      <c r="F106" s="115"/>
      <c r="G106" s="2355"/>
      <c r="H106" s="2226"/>
      <c r="I106" s="2320"/>
      <c r="J106" s="2359"/>
      <c r="K106" s="2345"/>
      <c r="L106" s="2307"/>
      <c r="M106" s="2345"/>
      <c r="N106" s="2320"/>
      <c r="O106" s="2369"/>
      <c r="P106" s="2372"/>
      <c r="Q106" s="2375"/>
      <c r="R106" s="2378"/>
      <c r="S106" s="131" t="s">
        <v>206</v>
      </c>
      <c r="T106" s="1923"/>
      <c r="U106" s="132"/>
      <c r="V106" s="65"/>
      <c r="W106" s="2366"/>
      <c r="X106" s="2366"/>
      <c r="Y106" s="2366"/>
      <c r="Z106" s="2366"/>
      <c r="AA106" s="2366"/>
      <c r="AB106" s="2366"/>
      <c r="AC106" s="2366"/>
      <c r="AD106" s="2366"/>
      <c r="AE106" s="2366"/>
      <c r="AF106" s="2366"/>
      <c r="AG106" s="2366"/>
      <c r="AH106" s="2366"/>
      <c r="AI106" s="2366"/>
      <c r="AJ106" s="2366"/>
      <c r="AK106" s="2366"/>
      <c r="AL106" s="2366"/>
      <c r="AM106" s="2379"/>
      <c r="AN106" s="2218"/>
      <c r="AO106" s="2254"/>
    </row>
    <row r="107" spans="1:41" s="58" customFormat="1" ht="15.75" x14ac:dyDescent="0.2">
      <c r="A107" s="133"/>
      <c r="B107" s="134"/>
      <c r="C107" s="135"/>
      <c r="D107" s="136"/>
      <c r="E107" s="134"/>
      <c r="F107" s="135"/>
      <c r="G107" s="137"/>
      <c r="H107" s="138"/>
      <c r="I107" s="139"/>
      <c r="J107" s="136"/>
      <c r="K107" s="136"/>
      <c r="L107" s="140"/>
      <c r="M107" s="141"/>
      <c r="N107" s="139"/>
      <c r="O107" s="142"/>
      <c r="P107" s="1930">
        <f>SUM(P11:P82)</f>
        <v>677628511</v>
      </c>
      <c r="Q107" s="139"/>
      <c r="R107" s="139"/>
      <c r="S107" s="143"/>
      <c r="T107" s="1906">
        <f>SUM(T9:T106)</f>
        <v>677628511</v>
      </c>
      <c r="U107" s="144"/>
      <c r="V107" s="138"/>
      <c r="W107" s="141"/>
      <c r="X107" s="141"/>
      <c r="Y107" s="141"/>
      <c r="Z107" s="141"/>
      <c r="AA107" s="141"/>
      <c r="AB107" s="141"/>
      <c r="AC107" s="141"/>
      <c r="AD107" s="141"/>
      <c r="AE107" s="141"/>
      <c r="AF107" s="141"/>
      <c r="AG107" s="141"/>
      <c r="AH107" s="141"/>
      <c r="AI107" s="141"/>
      <c r="AJ107" s="141"/>
      <c r="AK107" s="141"/>
      <c r="AL107" s="141"/>
      <c r="AM107" s="145"/>
      <c r="AN107" s="146"/>
      <c r="AO107" s="139"/>
    </row>
    <row r="108" spans="1:41" s="58" customFormat="1" ht="15.75" x14ac:dyDescent="0.2">
      <c r="A108" s="147"/>
      <c r="B108" s="148"/>
      <c r="C108" s="148"/>
      <c r="D108" s="148"/>
      <c r="E108" s="148"/>
      <c r="F108" s="148"/>
      <c r="G108" s="149"/>
      <c r="H108" s="149"/>
      <c r="I108" s="150"/>
      <c r="J108" s="148"/>
      <c r="K108" s="148"/>
      <c r="L108" s="151"/>
      <c r="M108" s="152"/>
      <c r="N108" s="150"/>
      <c r="O108" s="153"/>
      <c r="P108" s="154"/>
      <c r="Q108" s="150"/>
      <c r="R108" s="150"/>
      <c r="S108" s="155"/>
      <c r="T108" s="156"/>
      <c r="U108" s="157"/>
      <c r="V108" s="149"/>
      <c r="W108" s="152"/>
      <c r="X108" s="152"/>
      <c r="Y108" s="152"/>
      <c r="Z108" s="152"/>
      <c r="AA108" s="152"/>
      <c r="AB108" s="152"/>
      <c r="AC108" s="152"/>
      <c r="AD108" s="152"/>
      <c r="AE108" s="152"/>
      <c r="AF108" s="152"/>
      <c r="AG108" s="152"/>
      <c r="AH108" s="152"/>
      <c r="AI108" s="152"/>
      <c r="AJ108" s="152"/>
      <c r="AK108" s="152"/>
      <c r="AL108" s="152"/>
      <c r="AM108" s="158"/>
      <c r="AN108" s="159"/>
      <c r="AO108" s="150"/>
    </row>
    <row r="109" spans="1:41" s="58" customFormat="1" ht="15.75" x14ac:dyDescent="0.2">
      <c r="A109" s="147"/>
      <c r="B109" s="148"/>
      <c r="C109" s="148"/>
      <c r="D109" s="148"/>
      <c r="E109" s="148"/>
      <c r="F109" s="148"/>
      <c r="G109" s="149"/>
      <c r="H109" s="149"/>
      <c r="I109" s="150"/>
      <c r="J109" s="148"/>
      <c r="K109" s="148"/>
      <c r="L109" s="151"/>
      <c r="M109" s="152"/>
      <c r="N109" s="150"/>
      <c r="O109" s="153"/>
      <c r="P109" s="154"/>
      <c r="Q109" s="150"/>
      <c r="R109" s="150"/>
      <c r="S109" s="155"/>
      <c r="T109" s="156"/>
      <c r="U109" s="157"/>
      <c r="V109" s="149"/>
      <c r="W109" s="152"/>
      <c r="X109" s="152"/>
      <c r="Y109" s="152"/>
      <c r="Z109" s="152"/>
      <c r="AA109" s="152"/>
      <c r="AB109" s="152"/>
      <c r="AC109" s="152"/>
      <c r="AD109" s="152"/>
      <c r="AE109" s="152"/>
      <c r="AF109" s="152"/>
      <c r="AG109" s="152"/>
      <c r="AH109" s="152"/>
      <c r="AI109" s="152"/>
      <c r="AJ109" s="152"/>
      <c r="AK109" s="152"/>
      <c r="AL109" s="152"/>
      <c r="AM109" s="158"/>
      <c r="AN109" s="159"/>
      <c r="AO109" s="150"/>
    </row>
    <row r="110" spans="1:41" s="58" customFormat="1" ht="15.75" x14ac:dyDescent="0.2">
      <c r="A110" s="147"/>
      <c r="B110" s="148"/>
      <c r="C110" s="148"/>
      <c r="D110" s="148"/>
      <c r="E110" s="148"/>
      <c r="F110" s="148"/>
      <c r="G110" s="149"/>
      <c r="H110" s="149"/>
      <c r="I110" s="150"/>
      <c r="J110" s="148"/>
      <c r="K110" s="148"/>
      <c r="L110" s="151"/>
      <c r="M110" s="152"/>
      <c r="N110" s="150"/>
      <c r="O110" s="153"/>
      <c r="P110" s="154"/>
      <c r="Q110" s="150"/>
      <c r="R110" s="150"/>
      <c r="S110" s="155"/>
      <c r="T110" s="156"/>
      <c r="U110" s="157"/>
      <c r="V110" s="149"/>
      <c r="W110" s="152"/>
      <c r="X110" s="152"/>
      <c r="Y110" s="152"/>
      <c r="Z110" s="152"/>
      <c r="AA110" s="152"/>
      <c r="AB110" s="152"/>
      <c r="AC110" s="152"/>
      <c r="AD110" s="152"/>
      <c r="AE110" s="152"/>
      <c r="AF110" s="152"/>
      <c r="AG110" s="152"/>
      <c r="AH110" s="152"/>
      <c r="AI110" s="152"/>
      <c r="AJ110" s="152"/>
      <c r="AK110" s="152"/>
      <c r="AL110" s="152"/>
      <c r="AM110" s="158"/>
      <c r="AN110" s="159"/>
      <c r="AO110" s="150"/>
    </row>
    <row r="111" spans="1:41" s="58" customFormat="1" ht="15.75" x14ac:dyDescent="0.2">
      <c r="A111" s="147"/>
      <c r="B111" s="148"/>
      <c r="C111" s="148"/>
      <c r="D111" s="148"/>
      <c r="E111" s="148"/>
      <c r="F111" s="148"/>
      <c r="G111" s="149"/>
      <c r="H111" s="149"/>
      <c r="I111" s="150"/>
      <c r="J111" s="148"/>
      <c r="K111" s="148"/>
      <c r="L111" s="151"/>
      <c r="M111" s="152"/>
      <c r="N111" s="150"/>
      <c r="O111" s="153"/>
      <c r="P111" s="154"/>
      <c r="Q111" s="150"/>
      <c r="R111" s="150"/>
      <c r="S111" s="155"/>
      <c r="T111" s="156"/>
      <c r="U111" s="157"/>
      <c r="V111" s="149"/>
      <c r="W111" s="152"/>
      <c r="X111" s="152"/>
      <c r="Y111" s="152"/>
      <c r="Z111" s="152"/>
      <c r="AA111" s="152"/>
      <c r="AB111" s="152"/>
      <c r="AC111" s="152"/>
      <c r="AD111" s="152"/>
      <c r="AE111" s="152"/>
      <c r="AF111" s="152"/>
      <c r="AG111" s="152"/>
      <c r="AH111" s="152"/>
      <c r="AI111" s="152"/>
      <c r="AJ111" s="152"/>
      <c r="AK111" s="152"/>
      <c r="AL111" s="152"/>
      <c r="AM111" s="158"/>
      <c r="AN111" s="159"/>
      <c r="AO111" s="150"/>
    </row>
    <row r="112" spans="1:41" ht="27" customHeight="1" x14ac:dyDescent="0.25">
      <c r="C112" s="160" t="s">
        <v>207</v>
      </c>
      <c r="D112" s="161"/>
      <c r="I112" s="4"/>
    </row>
    <row r="113" spans="3:21" ht="27" customHeight="1" x14ac:dyDescent="0.25">
      <c r="C113" s="160" t="s">
        <v>208</v>
      </c>
      <c r="D113" s="161"/>
      <c r="I113" s="4"/>
    </row>
    <row r="114" spans="3:21" ht="27" customHeight="1" x14ac:dyDescent="0.2">
      <c r="U114" s="174"/>
    </row>
  </sheetData>
  <sheetProtection password="A60F" sheet="1" objects="1" scenarios="1"/>
  <mergeCells count="271">
    <mergeCell ref="M79:M106"/>
    <mergeCell ref="N79:N106"/>
    <mergeCell ref="O79:O106"/>
    <mergeCell ref="P79:P106"/>
    <mergeCell ref="Q79:Q106"/>
    <mergeCell ref="R79:R106"/>
    <mergeCell ref="AO79:AO106"/>
    <mergeCell ref="AI79:AI106"/>
    <mergeCell ref="AJ79:AJ106"/>
    <mergeCell ref="AK79:AK106"/>
    <mergeCell ref="AL79:AL106"/>
    <mergeCell ref="AM79:AM106"/>
    <mergeCell ref="AN79:AN106"/>
    <mergeCell ref="AC79:AC106"/>
    <mergeCell ref="AD79:AD106"/>
    <mergeCell ref="AE79:AE106"/>
    <mergeCell ref="AF79:AF106"/>
    <mergeCell ref="AG79:AG106"/>
    <mergeCell ref="AH79:AH106"/>
    <mergeCell ref="G79:G106"/>
    <mergeCell ref="H79:H106"/>
    <mergeCell ref="I79:I106"/>
    <mergeCell ref="J79:J106"/>
    <mergeCell ref="K79:K106"/>
    <mergeCell ref="L79:L106"/>
    <mergeCell ref="AM70:AM78"/>
    <mergeCell ref="AN70:AN78"/>
    <mergeCell ref="AO70:AO78"/>
    <mergeCell ref="AI70:AI78"/>
    <mergeCell ref="AJ70:AJ78"/>
    <mergeCell ref="AK70:AK78"/>
    <mergeCell ref="AL70:AL78"/>
    <mergeCell ref="M70:M78"/>
    <mergeCell ref="N70:N78"/>
    <mergeCell ref="O70:O72"/>
    <mergeCell ref="P70:P78"/>
    <mergeCell ref="O75:O76"/>
    <mergeCell ref="W79:W106"/>
    <mergeCell ref="X79:X106"/>
    <mergeCell ref="Y79:Y106"/>
    <mergeCell ref="Z79:Z106"/>
    <mergeCell ref="AA79:AA106"/>
    <mergeCell ref="AB79:AB106"/>
    <mergeCell ref="K75:K76"/>
    <mergeCell ref="AG70:AG78"/>
    <mergeCell ref="AH70:AH78"/>
    <mergeCell ref="AA70:AA78"/>
    <mergeCell ref="AB70:AB78"/>
    <mergeCell ref="AC70:AC78"/>
    <mergeCell ref="AD70:AD78"/>
    <mergeCell ref="AE70:AE78"/>
    <mergeCell ref="AF70:AF78"/>
    <mergeCell ref="Q70:Q78"/>
    <mergeCell ref="R70:R78"/>
    <mergeCell ref="W70:W78"/>
    <mergeCell ref="X70:X78"/>
    <mergeCell ref="Y70:Y78"/>
    <mergeCell ref="Z70:Z78"/>
    <mergeCell ref="S75:S76"/>
    <mergeCell ref="K70:K72"/>
    <mergeCell ref="L70:L78"/>
    <mergeCell ref="B70:C70"/>
    <mergeCell ref="E70:F70"/>
    <mergeCell ref="G70:G72"/>
    <mergeCell ref="H70:H72"/>
    <mergeCell ref="I70:I72"/>
    <mergeCell ref="J70:J72"/>
    <mergeCell ref="B74:C74"/>
    <mergeCell ref="E74:F74"/>
    <mergeCell ref="G75:G76"/>
    <mergeCell ref="H75:H76"/>
    <mergeCell ref="I75:I76"/>
    <mergeCell ref="J75:J76"/>
    <mergeCell ref="AJ52:AJ69"/>
    <mergeCell ref="AK52:AK69"/>
    <mergeCell ref="AL52:AL69"/>
    <mergeCell ref="AM52:AM69"/>
    <mergeCell ref="AN52:AN69"/>
    <mergeCell ref="AO52:AO69"/>
    <mergeCell ref="AD52:AD69"/>
    <mergeCell ref="AE52:AE69"/>
    <mergeCell ref="AF52:AF69"/>
    <mergeCell ref="AG52:AG69"/>
    <mergeCell ref="AH52:AH69"/>
    <mergeCell ref="AI52:AI69"/>
    <mergeCell ref="Y52:Y69"/>
    <mergeCell ref="Z52:Z69"/>
    <mergeCell ref="AA52:AA69"/>
    <mergeCell ref="AB52:AB69"/>
    <mergeCell ref="AC52:AC69"/>
    <mergeCell ref="N52:N69"/>
    <mergeCell ref="O52:O69"/>
    <mergeCell ref="P52:P69"/>
    <mergeCell ref="Q52:Q69"/>
    <mergeCell ref="R52:R69"/>
    <mergeCell ref="W52:W69"/>
    <mergeCell ref="S53:S54"/>
    <mergeCell ref="S55:S56"/>
    <mergeCell ref="S57:S58"/>
    <mergeCell ref="S59:S60"/>
    <mergeCell ref="S61:S62"/>
    <mergeCell ref="S63:S64"/>
    <mergeCell ref="S66:S67"/>
    <mergeCell ref="S68:S69"/>
    <mergeCell ref="AO44:AO51"/>
    <mergeCell ref="S46:S47"/>
    <mergeCell ref="G52:G69"/>
    <mergeCell ref="H52:H69"/>
    <mergeCell ref="I52:I69"/>
    <mergeCell ref="J52:J69"/>
    <mergeCell ref="K52:K69"/>
    <mergeCell ref="L52:L69"/>
    <mergeCell ref="M52:M69"/>
    <mergeCell ref="AH44:AH51"/>
    <mergeCell ref="AI44:AI51"/>
    <mergeCell ref="AJ44:AJ51"/>
    <mergeCell ref="AK44:AK51"/>
    <mergeCell ref="AL44:AL51"/>
    <mergeCell ref="AM44:AM51"/>
    <mergeCell ref="AB44:AB51"/>
    <mergeCell ref="AC44:AC51"/>
    <mergeCell ref="AD44:AD51"/>
    <mergeCell ref="AE44:AE51"/>
    <mergeCell ref="AF44:AF51"/>
    <mergeCell ref="AG44:AG51"/>
    <mergeCell ref="S44:S45"/>
    <mergeCell ref="W44:W51"/>
    <mergeCell ref="X52:X69"/>
    <mergeCell ref="G44:G51"/>
    <mergeCell ref="H44:H51"/>
    <mergeCell ref="I44:I51"/>
    <mergeCell ref="J44:J51"/>
    <mergeCell ref="K44:K51"/>
    <mergeCell ref="L44:L51"/>
    <mergeCell ref="AL36:AL43"/>
    <mergeCell ref="AM36:AM43"/>
    <mergeCell ref="AN36:AN43"/>
    <mergeCell ref="P36:P43"/>
    <mergeCell ref="Q36:Q43"/>
    <mergeCell ref="R36:R43"/>
    <mergeCell ref="X44:X51"/>
    <mergeCell ref="Y44:Y51"/>
    <mergeCell ref="Z44:Z51"/>
    <mergeCell ref="AA44:AA51"/>
    <mergeCell ref="M44:M51"/>
    <mergeCell ref="N44:N51"/>
    <mergeCell ref="O44:O51"/>
    <mergeCell ref="P44:P51"/>
    <mergeCell ref="Q44:Q51"/>
    <mergeCell ref="R44:R51"/>
    <mergeCell ref="AN44:AN51"/>
    <mergeCell ref="AO36:AO43"/>
    <mergeCell ref="S40:S41"/>
    <mergeCell ref="S42:S43"/>
    <mergeCell ref="AF36:AF43"/>
    <mergeCell ref="AG36:AG43"/>
    <mergeCell ref="AH36:AH43"/>
    <mergeCell ref="AI36:AI43"/>
    <mergeCell ref="AJ36:AJ43"/>
    <mergeCell ref="AK36:AK43"/>
    <mergeCell ref="Z36:Z43"/>
    <mergeCell ref="AA36:AA43"/>
    <mergeCell ref="AB36:AB43"/>
    <mergeCell ref="AC36:AC43"/>
    <mergeCell ref="AD36:AD43"/>
    <mergeCell ref="AE36:AE43"/>
    <mergeCell ref="W36:W43"/>
    <mergeCell ref="X36:X43"/>
    <mergeCell ref="Y36:Y43"/>
    <mergeCell ref="AO24:AO35"/>
    <mergeCell ref="G36:G43"/>
    <mergeCell ref="H36:H43"/>
    <mergeCell ref="I36:I43"/>
    <mergeCell ref="J36:J43"/>
    <mergeCell ref="K36:K43"/>
    <mergeCell ref="L36:L43"/>
    <mergeCell ref="M36:M43"/>
    <mergeCell ref="N36:N43"/>
    <mergeCell ref="O36:O43"/>
    <mergeCell ref="AI24:AI35"/>
    <mergeCell ref="AJ24:AJ35"/>
    <mergeCell ref="AK24:AK35"/>
    <mergeCell ref="AL24:AL35"/>
    <mergeCell ref="AM24:AM35"/>
    <mergeCell ref="AN24:AN35"/>
    <mergeCell ref="AC24:AC35"/>
    <mergeCell ref="AD24:AD35"/>
    <mergeCell ref="AE24:AE35"/>
    <mergeCell ref="AF24:AF35"/>
    <mergeCell ref="AG24:AG35"/>
    <mergeCell ref="AH24:AH35"/>
    <mergeCell ref="W24:W35"/>
    <mergeCell ref="X24:X35"/>
    <mergeCell ref="G24:G35"/>
    <mergeCell ref="H24:H35"/>
    <mergeCell ref="I24:I35"/>
    <mergeCell ref="J24:J35"/>
    <mergeCell ref="K24:K35"/>
    <mergeCell ref="L24:L35"/>
    <mergeCell ref="AK11:AK22"/>
    <mergeCell ref="AL11:AL22"/>
    <mergeCell ref="AM11:AM22"/>
    <mergeCell ref="O11:O22"/>
    <mergeCell ref="P11:P22"/>
    <mergeCell ref="Q11:Q22"/>
    <mergeCell ref="R11:R22"/>
    <mergeCell ref="Y24:Y35"/>
    <mergeCell ref="Z24:Z35"/>
    <mergeCell ref="AA24:AA35"/>
    <mergeCell ref="AB24:AB35"/>
    <mergeCell ref="M24:M35"/>
    <mergeCell ref="N24:N35"/>
    <mergeCell ref="O24:O35"/>
    <mergeCell ref="P24:P35"/>
    <mergeCell ref="Q24:Q35"/>
    <mergeCell ref="R24:R35"/>
    <mergeCell ref="G11:G22"/>
    <mergeCell ref="AN11:AN22"/>
    <mergeCell ref="AO11:AO22"/>
    <mergeCell ref="S18:S19"/>
    <mergeCell ref="AE11:AE22"/>
    <mergeCell ref="AF11:AF22"/>
    <mergeCell ref="AG11:AG22"/>
    <mergeCell ref="AH11:AH22"/>
    <mergeCell ref="AI11:AI22"/>
    <mergeCell ref="AJ11:AJ22"/>
    <mergeCell ref="Y11:Y22"/>
    <mergeCell ref="Z11:Z22"/>
    <mergeCell ref="AA11:AA22"/>
    <mergeCell ref="AB11:AB22"/>
    <mergeCell ref="AC11:AC22"/>
    <mergeCell ref="AD11:AD22"/>
    <mergeCell ref="W11:W22"/>
    <mergeCell ref="X11:X22"/>
    <mergeCell ref="H11:H22"/>
    <mergeCell ref="I11:I22"/>
    <mergeCell ref="J11:J22"/>
    <mergeCell ref="K11:K22"/>
    <mergeCell ref="L11:L22"/>
    <mergeCell ref="M11:M22"/>
    <mergeCell ref="N11:N22"/>
    <mergeCell ref="W7:X7"/>
    <mergeCell ref="P7:P8"/>
    <mergeCell ref="Q7:Q8"/>
    <mergeCell ref="R7:R8"/>
    <mergeCell ref="S7:S8"/>
    <mergeCell ref="T7:T8"/>
    <mergeCell ref="V7:V8"/>
    <mergeCell ref="J7:J8"/>
    <mergeCell ref="K7:K8"/>
    <mergeCell ref="L7:L8"/>
    <mergeCell ref="M7:M8"/>
    <mergeCell ref="N7:N8"/>
    <mergeCell ref="O7:O8"/>
    <mergeCell ref="A1:AM4"/>
    <mergeCell ref="A5:K6"/>
    <mergeCell ref="L5:AO5"/>
    <mergeCell ref="W6:AK6"/>
    <mergeCell ref="A7:A8"/>
    <mergeCell ref="B7:C8"/>
    <mergeCell ref="D7:D8"/>
    <mergeCell ref="E7:F8"/>
    <mergeCell ref="G7:G8"/>
    <mergeCell ref="I7:I8"/>
    <mergeCell ref="AN7:AN8"/>
    <mergeCell ref="AO7:AO8"/>
    <mergeCell ref="Y7:AB7"/>
    <mergeCell ref="AC7:AH7"/>
    <mergeCell ref="AI7:AK7"/>
    <mergeCell ref="AL7:AL8"/>
    <mergeCell ref="AM7:AM8"/>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26"/>
  <sheetViews>
    <sheetView showGridLines="0" topLeftCell="S1" zoomScale="60" zoomScaleNormal="60" workbookViewId="0">
      <selection activeCell="S16" sqref="S16"/>
    </sheetView>
  </sheetViews>
  <sheetFormatPr baseColWidth="10" defaultColWidth="11.42578125" defaultRowHeight="14.25" x14ac:dyDescent="0.2"/>
  <cols>
    <col min="1" max="1" width="13.7109375" style="439" customWidth="1"/>
    <col min="2" max="2" width="6.42578125" style="360" customWidth="1"/>
    <col min="3" max="3" width="19.42578125" style="360" customWidth="1"/>
    <col min="4" max="4" width="14.7109375" style="360" customWidth="1"/>
    <col min="5" max="5" width="10" style="360" customWidth="1"/>
    <col min="6" max="6" width="9.85546875" style="360" customWidth="1"/>
    <col min="7" max="7" width="14.140625" style="360" customWidth="1"/>
    <col min="8" max="8" width="15.5703125" style="360" customWidth="1"/>
    <col min="9" max="9" width="31.85546875" style="442" customWidth="1"/>
    <col min="10" max="10" width="33.140625" style="442" customWidth="1"/>
    <col min="11" max="11" width="13.5703125" style="180" customWidth="1"/>
    <col min="12" max="12" width="39.140625" style="180" customWidth="1"/>
    <col min="13" max="13" width="24" style="441" customWidth="1"/>
    <col min="14" max="14" width="34.28515625" style="440" customWidth="1"/>
    <col min="15" max="15" width="23.28515625" style="443" customWidth="1"/>
    <col min="16" max="16" width="30" style="444" customWidth="1"/>
    <col min="17" max="17" width="49.85546875" style="440" customWidth="1"/>
    <col min="18" max="18" width="53" style="440" customWidth="1"/>
    <col min="19" max="19" width="52.7109375" style="440" customWidth="1"/>
    <col min="20" max="20" width="28.140625" style="1425" customWidth="1"/>
    <col min="21" max="21" width="18.42578125" style="446" customWidth="1"/>
    <col min="22" max="22" width="28.7109375" style="447" customWidth="1"/>
    <col min="23" max="38" width="10" style="360" customWidth="1"/>
    <col min="39" max="39" width="13.85546875" style="1419" customWidth="1"/>
    <col min="40" max="40" width="21.85546875" style="454" customWidth="1"/>
    <col min="41" max="41" width="29.5703125" style="450" customWidth="1"/>
    <col min="42" max="16384" width="11.42578125" style="360"/>
  </cols>
  <sheetData>
    <row r="1" spans="1:59" ht="18" customHeight="1" x14ac:dyDescent="0.2">
      <c r="A1" s="2145" t="s">
        <v>1450</v>
      </c>
      <c r="B1" s="2146"/>
      <c r="C1" s="2146"/>
      <c r="D1" s="2146"/>
      <c r="E1" s="2146"/>
      <c r="F1" s="2146"/>
      <c r="G1" s="2146"/>
      <c r="H1" s="2146"/>
      <c r="I1" s="2146"/>
      <c r="J1" s="2146"/>
      <c r="K1" s="2146"/>
      <c r="L1" s="2146"/>
      <c r="M1" s="2146"/>
      <c r="N1" s="2146"/>
      <c r="O1" s="2146"/>
      <c r="P1" s="2146"/>
      <c r="Q1" s="2146"/>
      <c r="R1" s="2146"/>
      <c r="S1" s="2146"/>
      <c r="T1" s="2146"/>
      <c r="U1" s="2146"/>
      <c r="V1" s="2146"/>
      <c r="W1" s="2146"/>
      <c r="X1" s="2146"/>
      <c r="Y1" s="2146"/>
      <c r="Z1" s="2146"/>
      <c r="AA1" s="2146"/>
      <c r="AB1" s="2146"/>
      <c r="AC1" s="2146"/>
      <c r="AD1" s="2146"/>
      <c r="AE1" s="2146"/>
      <c r="AF1" s="2146"/>
      <c r="AG1" s="2146"/>
      <c r="AH1" s="2146"/>
      <c r="AI1" s="2146"/>
      <c r="AJ1" s="2146"/>
      <c r="AK1" s="2146"/>
      <c r="AL1" s="2146"/>
      <c r="AM1" s="2146"/>
      <c r="AN1" s="358" t="s">
        <v>1</v>
      </c>
      <c r="AO1" s="1614" t="s">
        <v>210</v>
      </c>
      <c r="AP1" s="180"/>
      <c r="AQ1" s="180"/>
      <c r="AR1" s="180"/>
      <c r="AS1" s="180"/>
      <c r="AT1" s="180"/>
      <c r="AU1" s="180"/>
      <c r="AV1" s="180"/>
      <c r="AW1" s="180"/>
      <c r="AX1" s="180"/>
      <c r="AY1" s="180"/>
      <c r="AZ1" s="180"/>
      <c r="BA1" s="180"/>
      <c r="BB1" s="180"/>
      <c r="BC1" s="180"/>
      <c r="BD1" s="180"/>
      <c r="BE1" s="180"/>
      <c r="BF1" s="180"/>
      <c r="BG1" s="180"/>
    </row>
    <row r="2" spans="1:59" ht="15" x14ac:dyDescent="0.2">
      <c r="A2" s="2147"/>
      <c r="B2" s="2148"/>
      <c r="C2" s="2148"/>
      <c r="D2" s="2148"/>
      <c r="E2" s="2148"/>
      <c r="F2" s="2148"/>
      <c r="G2" s="2148"/>
      <c r="H2" s="2148"/>
      <c r="I2" s="2148"/>
      <c r="J2" s="2148"/>
      <c r="K2" s="2148"/>
      <c r="L2" s="2148"/>
      <c r="M2" s="2148"/>
      <c r="N2" s="2148"/>
      <c r="O2" s="2148"/>
      <c r="P2" s="2148"/>
      <c r="Q2" s="2148"/>
      <c r="R2" s="2148"/>
      <c r="S2" s="2148"/>
      <c r="T2" s="2148"/>
      <c r="U2" s="2148"/>
      <c r="V2" s="2148"/>
      <c r="W2" s="2148"/>
      <c r="X2" s="2148"/>
      <c r="Y2" s="2148"/>
      <c r="Z2" s="2148"/>
      <c r="AA2" s="2148"/>
      <c r="AB2" s="2148"/>
      <c r="AC2" s="2148"/>
      <c r="AD2" s="2148"/>
      <c r="AE2" s="2148"/>
      <c r="AF2" s="2148"/>
      <c r="AG2" s="2148"/>
      <c r="AH2" s="2148"/>
      <c r="AI2" s="2148"/>
      <c r="AJ2" s="2148"/>
      <c r="AK2" s="2148"/>
      <c r="AL2" s="2148"/>
      <c r="AM2" s="2148"/>
      <c r="AN2" s="361" t="s">
        <v>3</v>
      </c>
      <c r="AO2" s="1615">
        <v>6</v>
      </c>
      <c r="AP2" s="180"/>
      <c r="AQ2" s="180"/>
      <c r="AR2" s="180"/>
      <c r="AS2" s="180"/>
      <c r="AT2" s="180"/>
      <c r="AU2" s="180"/>
      <c r="AV2" s="180"/>
      <c r="AW2" s="180"/>
      <c r="AX2" s="180"/>
      <c r="AY2" s="180"/>
      <c r="AZ2" s="180"/>
      <c r="BA2" s="180"/>
      <c r="BB2" s="180"/>
      <c r="BC2" s="180"/>
      <c r="BD2" s="180"/>
      <c r="BE2" s="180"/>
      <c r="BF2" s="180"/>
      <c r="BG2" s="180"/>
    </row>
    <row r="3" spans="1:59" ht="15" x14ac:dyDescent="0.2">
      <c r="A3" s="2147"/>
      <c r="B3" s="2148"/>
      <c r="C3" s="2148"/>
      <c r="D3" s="2148"/>
      <c r="E3" s="2148"/>
      <c r="F3" s="2148"/>
      <c r="G3" s="2148"/>
      <c r="H3" s="2148"/>
      <c r="I3" s="2148"/>
      <c r="J3" s="2148"/>
      <c r="K3" s="2148"/>
      <c r="L3" s="2148"/>
      <c r="M3" s="2148"/>
      <c r="N3" s="2148"/>
      <c r="O3" s="2148"/>
      <c r="P3" s="2148"/>
      <c r="Q3" s="2148"/>
      <c r="R3" s="2148"/>
      <c r="S3" s="2148"/>
      <c r="T3" s="2148"/>
      <c r="U3" s="2148"/>
      <c r="V3" s="2148"/>
      <c r="W3" s="2148"/>
      <c r="X3" s="2148"/>
      <c r="Y3" s="2148"/>
      <c r="Z3" s="2148"/>
      <c r="AA3" s="2148"/>
      <c r="AB3" s="2148"/>
      <c r="AC3" s="2148"/>
      <c r="AD3" s="2148"/>
      <c r="AE3" s="2148"/>
      <c r="AF3" s="2148"/>
      <c r="AG3" s="2148"/>
      <c r="AH3" s="2148"/>
      <c r="AI3" s="2148"/>
      <c r="AJ3" s="2148"/>
      <c r="AK3" s="2148"/>
      <c r="AL3" s="2148"/>
      <c r="AM3" s="2148"/>
      <c r="AN3" s="361" t="s">
        <v>5</v>
      </c>
      <c r="AO3" s="1616" t="s">
        <v>6</v>
      </c>
      <c r="AP3" s="180"/>
      <c r="AQ3" s="180"/>
      <c r="AR3" s="180"/>
      <c r="AS3" s="180"/>
      <c r="AT3" s="180"/>
      <c r="AU3" s="180"/>
      <c r="AV3" s="180"/>
      <c r="AW3" s="180"/>
      <c r="AX3" s="180"/>
      <c r="AY3" s="180"/>
      <c r="AZ3" s="180"/>
      <c r="BA3" s="180"/>
      <c r="BB3" s="180"/>
      <c r="BC3" s="180"/>
      <c r="BD3" s="180"/>
      <c r="BE3" s="180"/>
      <c r="BF3" s="180"/>
      <c r="BG3" s="180"/>
    </row>
    <row r="4" spans="1:59" ht="15" x14ac:dyDescent="0.2">
      <c r="A4" s="2149"/>
      <c r="B4" s="2150"/>
      <c r="C4" s="2150"/>
      <c r="D4" s="2150"/>
      <c r="E4" s="2150"/>
      <c r="F4" s="2150"/>
      <c r="G4" s="2150"/>
      <c r="H4" s="2150"/>
      <c r="I4" s="2150"/>
      <c r="J4" s="2150"/>
      <c r="K4" s="2150"/>
      <c r="L4" s="2150"/>
      <c r="M4" s="2150"/>
      <c r="N4" s="2150"/>
      <c r="O4" s="2150"/>
      <c r="P4" s="2150"/>
      <c r="Q4" s="2150"/>
      <c r="R4" s="2150"/>
      <c r="S4" s="2150"/>
      <c r="T4" s="2150"/>
      <c r="U4" s="2150"/>
      <c r="V4" s="2150"/>
      <c r="W4" s="2150"/>
      <c r="X4" s="2150"/>
      <c r="Y4" s="2150"/>
      <c r="Z4" s="2150"/>
      <c r="AA4" s="2150"/>
      <c r="AB4" s="2150"/>
      <c r="AC4" s="2150"/>
      <c r="AD4" s="2150"/>
      <c r="AE4" s="2150"/>
      <c r="AF4" s="2150"/>
      <c r="AG4" s="2150"/>
      <c r="AH4" s="2150"/>
      <c r="AI4" s="2150"/>
      <c r="AJ4" s="2150"/>
      <c r="AK4" s="2150"/>
      <c r="AL4" s="2150"/>
      <c r="AM4" s="2150"/>
      <c r="AN4" s="361" t="s">
        <v>7</v>
      </c>
      <c r="AO4" s="1617" t="s">
        <v>287</v>
      </c>
      <c r="AP4" s="180"/>
      <c r="AQ4" s="180"/>
      <c r="AR4" s="180"/>
      <c r="AS4" s="180"/>
      <c r="AT4" s="180"/>
      <c r="AU4" s="180"/>
      <c r="AV4" s="180"/>
      <c r="AW4" s="180"/>
      <c r="AX4" s="180"/>
      <c r="AY4" s="180"/>
      <c r="AZ4" s="180"/>
      <c r="BA4" s="180"/>
      <c r="BB4" s="180"/>
      <c r="BC4" s="180"/>
      <c r="BD4" s="180"/>
      <c r="BE4" s="180"/>
      <c r="BF4" s="180"/>
      <c r="BG4" s="180"/>
    </row>
    <row r="5" spans="1:59" ht="15.75" x14ac:dyDescent="0.2">
      <c r="A5" s="2151" t="s">
        <v>288</v>
      </c>
      <c r="B5" s="2152"/>
      <c r="C5" s="2152"/>
      <c r="D5" s="2152"/>
      <c r="E5" s="2152"/>
      <c r="F5" s="2152"/>
      <c r="G5" s="2152"/>
      <c r="H5" s="2152"/>
      <c r="I5" s="2152"/>
      <c r="J5" s="2152"/>
      <c r="K5" s="2152"/>
      <c r="L5" s="2380" t="s">
        <v>10</v>
      </c>
      <c r="M5" s="2380"/>
      <c r="N5" s="2380"/>
      <c r="O5" s="2380"/>
      <c r="P5" s="2380"/>
      <c r="Q5" s="2380"/>
      <c r="R5" s="2380"/>
      <c r="S5" s="2380"/>
      <c r="T5" s="2380"/>
      <c r="U5" s="2380"/>
      <c r="V5" s="2380"/>
      <c r="W5" s="2380"/>
      <c r="X5" s="2380"/>
      <c r="Y5" s="2380"/>
      <c r="Z5" s="2380"/>
      <c r="AA5" s="2380"/>
      <c r="AB5" s="2380"/>
      <c r="AC5" s="2380"/>
      <c r="AD5" s="2380"/>
      <c r="AE5" s="2380"/>
      <c r="AF5" s="2380"/>
      <c r="AG5" s="2380"/>
      <c r="AH5" s="2380"/>
      <c r="AI5" s="2380"/>
      <c r="AJ5" s="2380"/>
      <c r="AK5" s="2380"/>
      <c r="AL5" s="2380"/>
      <c r="AM5" s="2380"/>
      <c r="AN5" s="2380"/>
      <c r="AO5" s="2381"/>
      <c r="AP5" s="180"/>
      <c r="AQ5" s="180"/>
      <c r="AR5" s="180"/>
      <c r="AS5" s="180"/>
      <c r="AT5" s="180"/>
      <c r="AU5" s="180"/>
      <c r="AV5" s="180"/>
      <c r="AW5" s="180"/>
      <c r="AX5" s="180"/>
      <c r="AY5" s="180"/>
      <c r="AZ5" s="180"/>
      <c r="BA5" s="180"/>
      <c r="BB5" s="180"/>
      <c r="BC5" s="180"/>
      <c r="BD5" s="180"/>
      <c r="BE5" s="180"/>
      <c r="BF5" s="180"/>
      <c r="BG5" s="180"/>
    </row>
    <row r="6" spans="1:59" ht="15.75" x14ac:dyDescent="0.2">
      <c r="A6" s="2153"/>
      <c r="B6" s="2154"/>
      <c r="C6" s="2154"/>
      <c r="D6" s="2154"/>
      <c r="E6" s="2154"/>
      <c r="F6" s="2154"/>
      <c r="G6" s="2154"/>
      <c r="H6" s="2154"/>
      <c r="I6" s="2154"/>
      <c r="J6" s="2154"/>
      <c r="K6" s="2154"/>
      <c r="L6" s="1601"/>
      <c r="M6" s="636"/>
      <c r="N6" s="370"/>
      <c r="O6" s="1591"/>
      <c r="P6" s="1618"/>
      <c r="Q6" s="1591"/>
      <c r="R6" s="1591"/>
      <c r="S6" s="1591"/>
      <c r="T6" s="1591"/>
      <c r="U6" s="1591"/>
      <c r="V6" s="1591"/>
      <c r="W6" s="2382" t="s">
        <v>11</v>
      </c>
      <c r="X6" s="2154"/>
      <c r="Y6" s="2154"/>
      <c r="Z6" s="2154"/>
      <c r="AA6" s="2154"/>
      <c r="AB6" s="2154"/>
      <c r="AC6" s="2154"/>
      <c r="AD6" s="2154"/>
      <c r="AE6" s="2154"/>
      <c r="AF6" s="2154"/>
      <c r="AG6" s="2154"/>
      <c r="AH6" s="2154"/>
      <c r="AI6" s="2154"/>
      <c r="AJ6" s="2154"/>
      <c r="AK6" s="2154"/>
      <c r="AL6" s="1619"/>
      <c r="AM6" s="373"/>
      <c r="AN6" s="373"/>
      <c r="AO6" s="637"/>
      <c r="AP6" s="180"/>
      <c r="AQ6" s="180"/>
      <c r="AR6" s="180"/>
      <c r="AS6" s="180"/>
      <c r="AT6" s="180"/>
      <c r="AU6" s="180"/>
      <c r="AV6" s="180"/>
      <c r="AW6" s="180"/>
      <c r="AX6" s="180"/>
      <c r="AY6" s="180"/>
      <c r="AZ6" s="180"/>
      <c r="BA6" s="180"/>
      <c r="BB6" s="180"/>
      <c r="BC6" s="180"/>
      <c r="BD6" s="180"/>
      <c r="BE6" s="180"/>
      <c r="BF6" s="180"/>
      <c r="BG6" s="180"/>
    </row>
    <row r="7" spans="1:59" s="4" customFormat="1" ht="15.75" customHeight="1" x14ac:dyDescent="0.2">
      <c r="A7" s="2169" t="s">
        <v>12</v>
      </c>
      <c r="B7" s="2160" t="s">
        <v>13</v>
      </c>
      <c r="C7" s="2161"/>
      <c r="D7" s="2143" t="s">
        <v>12</v>
      </c>
      <c r="E7" s="2160" t="s">
        <v>14</v>
      </c>
      <c r="F7" s="2161"/>
      <c r="G7" s="2143" t="s">
        <v>12</v>
      </c>
      <c r="H7" s="2143" t="s">
        <v>1180</v>
      </c>
      <c r="I7" s="2143" t="s">
        <v>15</v>
      </c>
      <c r="J7" s="2143" t="s">
        <v>16</v>
      </c>
      <c r="K7" s="1603" t="s">
        <v>17</v>
      </c>
      <c r="L7" s="2143" t="s">
        <v>18</v>
      </c>
      <c r="M7" s="2143" t="s">
        <v>19</v>
      </c>
      <c r="N7" s="2143" t="s">
        <v>10</v>
      </c>
      <c r="O7" s="2165" t="s">
        <v>20</v>
      </c>
      <c r="P7" s="2167" t="s">
        <v>21</v>
      </c>
      <c r="Q7" s="2160" t="s">
        <v>22</v>
      </c>
      <c r="R7" s="2143" t="s">
        <v>23</v>
      </c>
      <c r="S7" s="2143" t="s">
        <v>24</v>
      </c>
      <c r="T7" s="1620" t="s">
        <v>21</v>
      </c>
      <c r="U7" s="2169" t="s">
        <v>12</v>
      </c>
      <c r="V7" s="2143" t="s">
        <v>25</v>
      </c>
      <c r="W7" s="2185" t="s">
        <v>26</v>
      </c>
      <c r="X7" s="2186"/>
      <c r="Y7" s="2187" t="s">
        <v>27</v>
      </c>
      <c r="Z7" s="2188"/>
      <c r="AA7" s="2188"/>
      <c r="AB7" s="2188"/>
      <c r="AC7" s="2242" t="s">
        <v>28</v>
      </c>
      <c r="AD7" s="2243"/>
      <c r="AE7" s="2243"/>
      <c r="AF7" s="2243"/>
      <c r="AG7" s="2243"/>
      <c r="AH7" s="2243"/>
      <c r="AI7" s="2187" t="s">
        <v>29</v>
      </c>
      <c r="AJ7" s="2188"/>
      <c r="AK7" s="2188"/>
      <c r="AL7" s="2400" t="s">
        <v>30</v>
      </c>
      <c r="AM7" s="2399" t="s">
        <v>31</v>
      </c>
      <c r="AN7" s="2399" t="s">
        <v>32</v>
      </c>
      <c r="AO7" s="2239" t="s">
        <v>33</v>
      </c>
      <c r="AP7" s="3"/>
      <c r="AQ7" s="3"/>
      <c r="AR7" s="3"/>
      <c r="AS7" s="3"/>
      <c r="AT7" s="3"/>
      <c r="AU7" s="3"/>
      <c r="AV7" s="3"/>
      <c r="AW7" s="3"/>
      <c r="AX7" s="3"/>
      <c r="AY7" s="3"/>
      <c r="AZ7" s="3"/>
      <c r="BA7" s="3"/>
      <c r="BB7" s="3"/>
      <c r="BC7" s="3"/>
      <c r="BD7" s="3"/>
      <c r="BE7" s="3"/>
      <c r="BF7" s="3"/>
      <c r="BG7" s="3"/>
    </row>
    <row r="8" spans="1:59" s="4" customFormat="1" ht="152.25" customHeight="1" x14ac:dyDescent="0.2">
      <c r="A8" s="2170"/>
      <c r="B8" s="2162"/>
      <c r="C8" s="2163"/>
      <c r="D8" s="2144"/>
      <c r="E8" s="2162"/>
      <c r="F8" s="2163"/>
      <c r="G8" s="2144"/>
      <c r="H8" s="2144"/>
      <c r="I8" s="2144"/>
      <c r="J8" s="2144"/>
      <c r="K8" s="1643" t="s">
        <v>325</v>
      </c>
      <c r="L8" s="2144"/>
      <c r="M8" s="2144"/>
      <c r="N8" s="2144"/>
      <c r="O8" s="2166"/>
      <c r="P8" s="2168"/>
      <c r="Q8" s="2162"/>
      <c r="R8" s="2144"/>
      <c r="S8" s="2144"/>
      <c r="T8" s="1621" t="s">
        <v>212</v>
      </c>
      <c r="U8" s="2396"/>
      <c r="V8" s="2144"/>
      <c r="W8" s="1129" t="s">
        <v>35</v>
      </c>
      <c r="X8" s="1128" t="s">
        <v>36</v>
      </c>
      <c r="Y8" s="1129" t="s">
        <v>37</v>
      </c>
      <c r="Z8" s="1129" t="s">
        <v>38</v>
      </c>
      <c r="AA8" s="1129" t="s">
        <v>39</v>
      </c>
      <c r="AB8" s="1129" t="s">
        <v>40</v>
      </c>
      <c r="AC8" s="1129" t="s">
        <v>41</v>
      </c>
      <c r="AD8" s="1129" t="s">
        <v>42</v>
      </c>
      <c r="AE8" s="1129" t="s">
        <v>43</v>
      </c>
      <c r="AF8" s="1129" t="s">
        <v>44</v>
      </c>
      <c r="AG8" s="1129" t="s">
        <v>45</v>
      </c>
      <c r="AH8" s="1129" t="s">
        <v>292</v>
      </c>
      <c r="AI8" s="1129" t="s">
        <v>47</v>
      </c>
      <c r="AJ8" s="1129" t="s">
        <v>48</v>
      </c>
      <c r="AK8" s="1129" t="s">
        <v>49</v>
      </c>
      <c r="AL8" s="2401"/>
      <c r="AM8" s="2399"/>
      <c r="AN8" s="2399"/>
      <c r="AO8" s="2240"/>
      <c r="AP8" s="3"/>
      <c r="AQ8" s="3"/>
      <c r="AR8" s="3"/>
      <c r="AS8" s="3"/>
      <c r="AT8" s="3"/>
      <c r="AU8" s="3"/>
      <c r="AV8" s="3"/>
      <c r="AW8" s="3"/>
      <c r="AX8" s="3"/>
      <c r="AY8" s="3"/>
      <c r="AZ8" s="3"/>
      <c r="BA8" s="3"/>
      <c r="BB8" s="3"/>
      <c r="BC8" s="3"/>
      <c r="BD8" s="3"/>
      <c r="BE8" s="3"/>
      <c r="BF8" s="3"/>
      <c r="BG8" s="3"/>
    </row>
    <row r="9" spans="1:59" s="117" customFormat="1" ht="15.75" x14ac:dyDescent="0.2">
      <c r="A9" s="1352">
        <v>4</v>
      </c>
      <c r="B9" s="1353" t="s">
        <v>267</v>
      </c>
      <c r="C9" s="381"/>
      <c r="D9" s="23"/>
      <c r="E9" s="23"/>
      <c r="F9" s="23"/>
      <c r="G9" s="23"/>
      <c r="H9" s="23"/>
      <c r="I9" s="25"/>
      <c r="J9" s="25"/>
      <c r="K9" s="23"/>
      <c r="L9" s="23"/>
      <c r="M9" s="26"/>
      <c r="N9" s="24"/>
      <c r="O9" s="27"/>
      <c r="P9" s="28"/>
      <c r="Q9" s="24"/>
      <c r="R9" s="24"/>
      <c r="S9" s="24"/>
      <c r="T9" s="30"/>
      <c r="U9" s="31"/>
      <c r="V9" s="26"/>
      <c r="W9" s="23"/>
      <c r="X9" s="23"/>
      <c r="Y9" s="23"/>
      <c r="Z9" s="23"/>
      <c r="AA9" s="23"/>
      <c r="AB9" s="23"/>
      <c r="AC9" s="23"/>
      <c r="AD9" s="23"/>
      <c r="AE9" s="23"/>
      <c r="AF9" s="23"/>
      <c r="AG9" s="23"/>
      <c r="AH9" s="23"/>
      <c r="AI9" s="23"/>
      <c r="AJ9" s="23"/>
      <c r="AK9" s="23"/>
      <c r="AL9" s="23"/>
      <c r="AM9" s="32"/>
      <c r="AN9" s="32"/>
      <c r="AO9" s="24"/>
      <c r="AP9" s="3"/>
      <c r="AQ9" s="3"/>
      <c r="AR9" s="3"/>
      <c r="AS9" s="3"/>
      <c r="AT9" s="3"/>
      <c r="AU9" s="3"/>
      <c r="AV9" s="3"/>
      <c r="AW9" s="3"/>
      <c r="AX9" s="3"/>
      <c r="AY9" s="3"/>
      <c r="AZ9" s="3"/>
      <c r="BA9" s="3"/>
      <c r="BB9" s="3"/>
      <c r="BC9" s="3"/>
      <c r="BD9" s="3"/>
      <c r="BE9" s="3"/>
      <c r="BF9" s="3"/>
      <c r="BG9" s="3"/>
    </row>
    <row r="10" spans="1:59" s="3" customFormat="1" ht="15.75" x14ac:dyDescent="0.2">
      <c r="A10" s="1590"/>
      <c r="B10" s="2383"/>
      <c r="C10" s="2384"/>
      <c r="D10" s="1622">
        <v>45</v>
      </c>
      <c r="E10" s="2385" t="s">
        <v>74</v>
      </c>
      <c r="F10" s="2385"/>
      <c r="G10" s="2386"/>
      <c r="H10" s="2385"/>
      <c r="I10" s="2386"/>
      <c r="J10" s="2386"/>
      <c r="K10" s="2386"/>
      <c r="L10" s="2386"/>
      <c r="M10" s="2386"/>
      <c r="N10" s="393"/>
      <c r="O10" s="1356"/>
      <c r="P10" s="392"/>
      <c r="Q10" s="387"/>
      <c r="R10" s="387"/>
      <c r="S10" s="387"/>
      <c r="T10" s="1434"/>
      <c r="U10" s="1435"/>
      <c r="V10" s="389"/>
      <c r="W10" s="386"/>
      <c r="X10" s="386"/>
      <c r="Y10" s="386"/>
      <c r="Z10" s="386"/>
      <c r="AA10" s="386"/>
      <c r="AB10" s="386"/>
      <c r="AC10" s="386"/>
      <c r="AD10" s="386"/>
      <c r="AE10" s="386"/>
      <c r="AF10" s="386"/>
      <c r="AG10" s="386"/>
      <c r="AH10" s="386"/>
      <c r="AI10" s="386"/>
      <c r="AJ10" s="386"/>
      <c r="AK10" s="386"/>
      <c r="AL10" s="386"/>
      <c r="AM10" s="489"/>
      <c r="AN10" s="489"/>
      <c r="AO10" s="387"/>
      <c r="AP10" s="484"/>
    </row>
    <row r="11" spans="1:59" s="3" customFormat="1" ht="38.25" customHeight="1" x14ac:dyDescent="0.2">
      <c r="A11" s="1589"/>
      <c r="B11" s="2387"/>
      <c r="C11" s="2387"/>
      <c r="D11" s="1596"/>
      <c r="E11" s="2388"/>
      <c r="F11" s="2389"/>
      <c r="G11" s="2390" t="s">
        <v>52</v>
      </c>
      <c r="H11" s="2392" t="s">
        <v>1451</v>
      </c>
      <c r="I11" s="2394" t="s">
        <v>1452</v>
      </c>
      <c r="J11" s="2397" t="s">
        <v>1453</v>
      </c>
      <c r="K11" s="2260">
        <v>1</v>
      </c>
      <c r="L11" s="2260" t="s">
        <v>1454</v>
      </c>
      <c r="M11" s="2416" t="s">
        <v>1455</v>
      </c>
      <c r="N11" s="2418" t="s">
        <v>1456</v>
      </c>
      <c r="O11" s="2420">
        <f>SUM(T11:T16)/P11</f>
        <v>1</v>
      </c>
      <c r="P11" s="2428">
        <f>SUM(T11:T16)</f>
        <v>1881149477</v>
      </c>
      <c r="Q11" s="2267" t="s">
        <v>1457</v>
      </c>
      <c r="R11" s="2408" t="s">
        <v>1458</v>
      </c>
      <c r="S11" s="2411" t="s">
        <v>1459</v>
      </c>
      <c r="T11" s="1623">
        <v>628217465</v>
      </c>
      <c r="U11" s="317">
        <v>20</v>
      </c>
      <c r="V11" s="1714" t="s">
        <v>70</v>
      </c>
      <c r="W11" s="2413">
        <v>295972</v>
      </c>
      <c r="X11" s="2405">
        <v>285580</v>
      </c>
      <c r="Y11" s="2405">
        <v>135545</v>
      </c>
      <c r="Z11" s="2405">
        <v>44254</v>
      </c>
      <c r="AA11" s="2405">
        <v>309146</v>
      </c>
      <c r="AB11" s="2405">
        <v>92607</v>
      </c>
      <c r="AC11" s="2405">
        <v>2145</v>
      </c>
      <c r="AD11" s="2405">
        <v>12718</v>
      </c>
      <c r="AE11" s="2405">
        <v>26</v>
      </c>
      <c r="AF11" s="2405">
        <v>37</v>
      </c>
      <c r="AG11" s="2405">
        <v>0</v>
      </c>
      <c r="AH11" s="2405">
        <v>0</v>
      </c>
      <c r="AI11" s="2405">
        <v>44350</v>
      </c>
      <c r="AJ11" s="2405">
        <v>21944</v>
      </c>
      <c r="AK11" s="2405">
        <v>75687</v>
      </c>
      <c r="AL11" s="2405">
        <f>+W11+X11</f>
        <v>581552</v>
      </c>
      <c r="AM11" s="2403">
        <v>43832</v>
      </c>
      <c r="AN11" s="2402">
        <v>44195</v>
      </c>
      <c r="AO11" s="2254" t="s">
        <v>1460</v>
      </c>
      <c r="AP11" s="1361"/>
    </row>
    <row r="12" spans="1:59" s="3" customFormat="1" ht="30" x14ac:dyDescent="0.2">
      <c r="A12" s="1589"/>
      <c r="B12" s="1598"/>
      <c r="C12" s="1598"/>
      <c r="D12" s="1597"/>
      <c r="E12" s="1593"/>
      <c r="F12" s="1594"/>
      <c r="G12" s="2391"/>
      <c r="H12" s="2392"/>
      <c r="I12" s="2395"/>
      <c r="J12" s="2398"/>
      <c r="K12" s="2261"/>
      <c r="L12" s="2261"/>
      <c r="M12" s="2417"/>
      <c r="N12" s="2419"/>
      <c r="O12" s="2421"/>
      <c r="P12" s="2429"/>
      <c r="Q12" s="2267"/>
      <c r="R12" s="2408"/>
      <c r="S12" s="2412"/>
      <c r="T12" s="1624">
        <v>198154681</v>
      </c>
      <c r="U12" s="1604">
        <v>88</v>
      </c>
      <c r="V12" s="1714" t="s">
        <v>466</v>
      </c>
      <c r="W12" s="2413"/>
      <c r="X12" s="2406"/>
      <c r="Y12" s="2406"/>
      <c r="Z12" s="2406"/>
      <c r="AA12" s="2406"/>
      <c r="AB12" s="2406"/>
      <c r="AC12" s="2406"/>
      <c r="AD12" s="2406"/>
      <c r="AE12" s="2406"/>
      <c r="AF12" s="2406"/>
      <c r="AG12" s="2406"/>
      <c r="AH12" s="2406"/>
      <c r="AI12" s="2406"/>
      <c r="AJ12" s="2406"/>
      <c r="AK12" s="2406"/>
      <c r="AL12" s="2406"/>
      <c r="AM12" s="2422"/>
      <c r="AN12" s="2402"/>
      <c r="AO12" s="2254"/>
      <c r="AP12" s="1361"/>
    </row>
    <row r="13" spans="1:59" s="3" customFormat="1" ht="52.5" customHeight="1" x14ac:dyDescent="0.2">
      <c r="A13" s="1589"/>
      <c r="B13" s="1598"/>
      <c r="C13" s="1598"/>
      <c r="D13" s="1597"/>
      <c r="E13" s="1593"/>
      <c r="F13" s="1594"/>
      <c r="G13" s="2391"/>
      <c r="H13" s="2392"/>
      <c r="I13" s="2395"/>
      <c r="J13" s="2398"/>
      <c r="K13" s="2261"/>
      <c r="L13" s="2261"/>
      <c r="M13" s="2417"/>
      <c r="N13" s="2419"/>
      <c r="O13" s="2421"/>
      <c r="P13" s="2429"/>
      <c r="Q13" s="2267"/>
      <c r="R13" s="2408"/>
      <c r="S13" s="1625" t="s">
        <v>1714</v>
      </c>
      <c r="T13" s="1624">
        <v>488447537</v>
      </c>
      <c r="U13" s="317">
        <v>20</v>
      </c>
      <c r="V13" s="1714" t="s">
        <v>70</v>
      </c>
      <c r="W13" s="2413"/>
      <c r="X13" s="2406"/>
      <c r="Y13" s="2406"/>
      <c r="Z13" s="2406"/>
      <c r="AA13" s="2406"/>
      <c r="AB13" s="2406"/>
      <c r="AC13" s="2406"/>
      <c r="AD13" s="2406"/>
      <c r="AE13" s="2406"/>
      <c r="AF13" s="2406"/>
      <c r="AG13" s="2406"/>
      <c r="AH13" s="2406"/>
      <c r="AI13" s="2406"/>
      <c r="AJ13" s="2406"/>
      <c r="AK13" s="2406"/>
      <c r="AL13" s="2406"/>
      <c r="AM13" s="2422"/>
      <c r="AN13" s="2402"/>
      <c r="AO13" s="2254"/>
      <c r="AP13" s="1361"/>
    </row>
    <row r="14" spans="1:59" s="3" customFormat="1" ht="60" x14ac:dyDescent="0.2">
      <c r="A14" s="1589"/>
      <c r="B14" s="1598"/>
      <c r="C14" s="1598"/>
      <c r="D14" s="1597"/>
      <c r="E14" s="1593"/>
      <c r="F14" s="1594"/>
      <c r="G14" s="2391"/>
      <c r="H14" s="2392"/>
      <c r="I14" s="2395"/>
      <c r="J14" s="2398"/>
      <c r="K14" s="2261"/>
      <c r="L14" s="2261"/>
      <c r="M14" s="2417"/>
      <c r="N14" s="2419"/>
      <c r="O14" s="2421"/>
      <c r="P14" s="2429"/>
      <c r="Q14" s="2267"/>
      <c r="R14" s="2408"/>
      <c r="S14" s="1625" t="s">
        <v>1461</v>
      </c>
      <c r="T14" s="1624">
        <v>162724796</v>
      </c>
      <c r="U14" s="1604">
        <v>88</v>
      </c>
      <c r="V14" s="1714" t="s">
        <v>466</v>
      </c>
      <c r="W14" s="2413"/>
      <c r="X14" s="2406"/>
      <c r="Y14" s="2406"/>
      <c r="Z14" s="2406"/>
      <c r="AA14" s="2406"/>
      <c r="AB14" s="2406"/>
      <c r="AC14" s="2406"/>
      <c r="AD14" s="2406"/>
      <c r="AE14" s="2406"/>
      <c r="AF14" s="2406"/>
      <c r="AG14" s="2406"/>
      <c r="AH14" s="2406"/>
      <c r="AI14" s="2406"/>
      <c r="AJ14" s="2406"/>
      <c r="AK14" s="2406"/>
      <c r="AL14" s="2406"/>
      <c r="AM14" s="2422"/>
      <c r="AN14" s="2402"/>
      <c r="AO14" s="2254"/>
      <c r="AP14" s="1361"/>
    </row>
    <row r="15" spans="1:59" s="3" customFormat="1" ht="45" x14ac:dyDescent="0.2">
      <c r="A15" s="1589"/>
      <c r="B15" s="1598"/>
      <c r="C15" s="1598"/>
      <c r="D15" s="1597"/>
      <c r="E15" s="1593"/>
      <c r="F15" s="1594"/>
      <c r="G15" s="2391"/>
      <c r="H15" s="2393"/>
      <c r="I15" s="2395"/>
      <c r="J15" s="2398"/>
      <c r="K15" s="2261"/>
      <c r="L15" s="2261"/>
      <c r="M15" s="2417"/>
      <c r="N15" s="2419"/>
      <c r="O15" s="2421"/>
      <c r="P15" s="2429"/>
      <c r="Q15" s="2430"/>
      <c r="R15" s="2409"/>
      <c r="S15" s="1626" t="s">
        <v>1462</v>
      </c>
      <c r="T15" s="1624">
        <v>153604998</v>
      </c>
      <c r="U15" s="317">
        <v>20</v>
      </c>
      <c r="V15" s="1714" t="s">
        <v>70</v>
      </c>
      <c r="W15" s="2405"/>
      <c r="X15" s="2406"/>
      <c r="Y15" s="2406"/>
      <c r="Z15" s="2406"/>
      <c r="AA15" s="2406"/>
      <c r="AB15" s="2406"/>
      <c r="AC15" s="2406"/>
      <c r="AD15" s="2406"/>
      <c r="AE15" s="2406"/>
      <c r="AF15" s="2406"/>
      <c r="AG15" s="2406"/>
      <c r="AH15" s="2406"/>
      <c r="AI15" s="2406"/>
      <c r="AJ15" s="2406"/>
      <c r="AK15" s="2406"/>
      <c r="AL15" s="2406"/>
      <c r="AM15" s="2422"/>
      <c r="AN15" s="2403"/>
      <c r="AO15" s="2404"/>
      <c r="AP15" s="1361"/>
    </row>
    <row r="16" spans="1:59" s="3" customFormat="1" ht="60" x14ac:dyDescent="0.2">
      <c r="A16" s="1589"/>
      <c r="B16" s="1598"/>
      <c r="C16" s="1598"/>
      <c r="D16" s="1597"/>
      <c r="E16" s="1593"/>
      <c r="F16" s="1594"/>
      <c r="G16" s="2391"/>
      <c r="H16" s="2393"/>
      <c r="I16" s="2395"/>
      <c r="J16" s="2398"/>
      <c r="K16" s="2261"/>
      <c r="L16" s="2261"/>
      <c r="M16" s="2417"/>
      <c r="N16" s="2419"/>
      <c r="O16" s="2415"/>
      <c r="P16" s="2429"/>
      <c r="Q16" s="2430"/>
      <c r="R16" s="2410"/>
      <c r="S16" s="1627" t="s">
        <v>1463</v>
      </c>
      <c r="T16" s="1628">
        <v>250000000</v>
      </c>
      <c r="U16" s="1604">
        <v>56</v>
      </c>
      <c r="V16" s="930" t="s">
        <v>1464</v>
      </c>
      <c r="W16" s="2405"/>
      <c r="X16" s="2407"/>
      <c r="Y16" s="2407"/>
      <c r="Z16" s="2407"/>
      <c r="AA16" s="2407"/>
      <c r="AB16" s="2407"/>
      <c r="AC16" s="2407"/>
      <c r="AD16" s="2407"/>
      <c r="AE16" s="2407"/>
      <c r="AF16" s="2407"/>
      <c r="AG16" s="2407"/>
      <c r="AH16" s="2407"/>
      <c r="AI16" s="2407"/>
      <c r="AJ16" s="2407"/>
      <c r="AK16" s="2407"/>
      <c r="AL16" s="2407"/>
      <c r="AM16" s="2423"/>
      <c r="AN16" s="2403"/>
      <c r="AO16" s="2404"/>
      <c r="AP16" s="1361"/>
    </row>
    <row r="17" spans="1:42" s="3" customFormat="1" ht="32.25" customHeight="1" x14ac:dyDescent="0.2">
      <c r="A17" s="1589"/>
      <c r="B17" s="1598"/>
      <c r="C17" s="1598"/>
      <c r="D17" s="1597"/>
      <c r="E17" s="1593"/>
      <c r="F17" s="1593"/>
      <c r="G17" s="2424" t="s">
        <v>52</v>
      </c>
      <c r="H17" s="2392" t="s">
        <v>1465</v>
      </c>
      <c r="I17" s="2425" t="s">
        <v>1466</v>
      </c>
      <c r="J17" s="2426" t="s">
        <v>1467</v>
      </c>
      <c r="K17" s="2427">
        <v>1</v>
      </c>
      <c r="L17" s="2323" t="s">
        <v>1468</v>
      </c>
      <c r="M17" s="2414" t="s">
        <v>1469</v>
      </c>
      <c r="N17" s="2303" t="s">
        <v>1470</v>
      </c>
      <c r="O17" s="2415">
        <f>SUM(T17:T19)/P17</f>
        <v>1</v>
      </c>
      <c r="P17" s="2440">
        <f>SUM(T17:T19)</f>
        <v>390864000</v>
      </c>
      <c r="Q17" s="2430" t="s">
        <v>1471</v>
      </c>
      <c r="R17" s="2410" t="s">
        <v>1472</v>
      </c>
      <c r="S17" s="2436" t="s">
        <v>1473</v>
      </c>
      <c r="T17" s="1629">
        <v>127397336</v>
      </c>
      <c r="U17" s="1592">
        <v>20</v>
      </c>
      <c r="V17" s="1957" t="s">
        <v>70</v>
      </c>
      <c r="W17" s="2439">
        <v>295972</v>
      </c>
      <c r="X17" s="2405">
        <v>285580</v>
      </c>
      <c r="Y17" s="2405">
        <v>135545</v>
      </c>
      <c r="Z17" s="2405">
        <v>44254</v>
      </c>
      <c r="AA17" s="2405">
        <v>309146</v>
      </c>
      <c r="AB17" s="2405">
        <v>92607</v>
      </c>
      <c r="AC17" s="2405">
        <v>2145</v>
      </c>
      <c r="AD17" s="2405">
        <v>12718</v>
      </c>
      <c r="AE17" s="2405">
        <v>26</v>
      </c>
      <c r="AF17" s="2405">
        <v>37</v>
      </c>
      <c r="AG17" s="2405">
        <v>0</v>
      </c>
      <c r="AH17" s="2405">
        <v>0</v>
      </c>
      <c r="AI17" s="2405">
        <v>44350</v>
      </c>
      <c r="AJ17" s="2405">
        <v>21944</v>
      </c>
      <c r="AK17" s="2405">
        <v>75687</v>
      </c>
      <c r="AL17" s="2405">
        <f>+W17+X17</f>
        <v>581552</v>
      </c>
      <c r="AM17" s="2402">
        <v>43832</v>
      </c>
      <c r="AN17" s="2402">
        <v>44195</v>
      </c>
      <c r="AO17" s="2254" t="s">
        <v>1460</v>
      </c>
      <c r="AP17" s="1361"/>
    </row>
    <row r="18" spans="1:42" s="3" customFormat="1" ht="30" x14ac:dyDescent="0.2">
      <c r="A18" s="1589"/>
      <c r="B18" s="1598"/>
      <c r="C18" s="1598"/>
      <c r="D18" s="1597"/>
      <c r="E18" s="1593"/>
      <c r="F18" s="1593"/>
      <c r="G18" s="2424"/>
      <c r="H18" s="2392"/>
      <c r="I18" s="2425"/>
      <c r="J18" s="2426"/>
      <c r="K18" s="2427"/>
      <c r="L18" s="2323"/>
      <c r="M18" s="2414"/>
      <c r="N18" s="2303"/>
      <c r="O18" s="2362"/>
      <c r="P18" s="2440"/>
      <c r="Q18" s="2441"/>
      <c r="R18" s="2434"/>
      <c r="S18" s="2437"/>
      <c r="T18" s="1629">
        <v>120000000</v>
      </c>
      <c r="U18" s="1592">
        <v>88</v>
      </c>
      <c r="V18" s="1957" t="s">
        <v>466</v>
      </c>
      <c r="W18" s="2439"/>
      <c r="X18" s="2406"/>
      <c r="Y18" s="2406"/>
      <c r="Z18" s="2406"/>
      <c r="AA18" s="2406"/>
      <c r="AB18" s="2406"/>
      <c r="AC18" s="2406"/>
      <c r="AD18" s="2406"/>
      <c r="AE18" s="2406"/>
      <c r="AF18" s="2406"/>
      <c r="AG18" s="2406"/>
      <c r="AH18" s="2406"/>
      <c r="AI18" s="2406"/>
      <c r="AJ18" s="2406"/>
      <c r="AK18" s="2406"/>
      <c r="AL18" s="2406"/>
      <c r="AM18" s="2402"/>
      <c r="AN18" s="2402"/>
      <c r="AO18" s="2254"/>
      <c r="AP18" s="1361"/>
    </row>
    <row r="19" spans="1:42" s="3" customFormat="1" ht="92.25" customHeight="1" x14ac:dyDescent="0.2">
      <c r="A19" s="1589"/>
      <c r="B19" s="1598"/>
      <c r="C19" s="1598"/>
      <c r="D19" s="1597"/>
      <c r="E19" s="1593"/>
      <c r="F19" s="1593"/>
      <c r="G19" s="2424"/>
      <c r="H19" s="2392"/>
      <c r="I19" s="2425"/>
      <c r="J19" s="2426"/>
      <c r="K19" s="2427"/>
      <c r="L19" s="2323"/>
      <c r="M19" s="2414"/>
      <c r="N19" s="2303"/>
      <c r="O19" s="2362"/>
      <c r="P19" s="2440"/>
      <c r="Q19" s="2442"/>
      <c r="R19" s="2435"/>
      <c r="S19" s="2438"/>
      <c r="T19" s="1628">
        <v>143466664</v>
      </c>
      <c r="U19" s="1604">
        <v>20</v>
      </c>
      <c r="V19" s="1714" t="s">
        <v>70</v>
      </c>
      <c r="W19" s="2439"/>
      <c r="X19" s="2407"/>
      <c r="Y19" s="2407"/>
      <c r="Z19" s="2407"/>
      <c r="AA19" s="2407"/>
      <c r="AB19" s="2407"/>
      <c r="AC19" s="2407"/>
      <c r="AD19" s="2407"/>
      <c r="AE19" s="2407"/>
      <c r="AF19" s="2407"/>
      <c r="AG19" s="2407"/>
      <c r="AH19" s="2407"/>
      <c r="AI19" s="2407"/>
      <c r="AJ19" s="2407"/>
      <c r="AK19" s="2407"/>
      <c r="AL19" s="2407"/>
      <c r="AM19" s="2402"/>
      <c r="AN19" s="2402"/>
      <c r="AO19" s="2254"/>
      <c r="AP19" s="1361"/>
    </row>
    <row r="20" spans="1:42" s="58" customFormat="1" ht="15.75" x14ac:dyDescent="0.2">
      <c r="A20" s="593"/>
      <c r="B20" s="2431"/>
      <c r="C20" s="2431"/>
      <c r="D20" s="701"/>
      <c r="E20" s="594"/>
      <c r="F20" s="595"/>
      <c r="G20" s="135"/>
      <c r="H20" s="135"/>
      <c r="I20" s="136"/>
      <c r="J20" s="1599"/>
      <c r="K20" s="136"/>
      <c r="L20" s="136"/>
      <c r="M20" s="141"/>
      <c r="N20" s="139"/>
      <c r="O20" s="142"/>
      <c r="P20" s="1630">
        <f>SUM(P11:P17)</f>
        <v>2272013477</v>
      </c>
      <c r="Q20" s="139"/>
      <c r="R20" s="139"/>
      <c r="S20" s="599"/>
      <c r="T20" s="1931">
        <f>SUM(T11:T19)</f>
        <v>2272013477</v>
      </c>
      <c r="U20" s="525"/>
      <c r="V20" s="1602"/>
      <c r="W20" s="136"/>
      <c r="X20" s="136"/>
      <c r="Y20" s="136"/>
      <c r="Z20" s="136"/>
      <c r="AA20" s="136"/>
      <c r="AB20" s="136"/>
      <c r="AC20" s="136"/>
      <c r="AD20" s="136"/>
      <c r="AE20" s="136"/>
      <c r="AF20" s="136"/>
      <c r="AG20" s="136"/>
      <c r="AH20" s="136"/>
      <c r="AI20" s="136"/>
      <c r="AJ20" s="136"/>
      <c r="AK20" s="136"/>
      <c r="AL20" s="136"/>
      <c r="AM20" s="1595"/>
      <c r="AN20" s="146"/>
      <c r="AO20" s="139"/>
    </row>
    <row r="22" spans="1:42" x14ac:dyDescent="0.2">
      <c r="P22" s="1421"/>
    </row>
    <row r="23" spans="1:42" x14ac:dyDescent="0.2">
      <c r="C23" s="452"/>
      <c r="D23" s="452"/>
      <c r="E23" s="452"/>
      <c r="F23" s="452"/>
      <c r="G23" s="452"/>
      <c r="H23" s="1423"/>
    </row>
    <row r="24" spans="1:42" ht="15.75" x14ac:dyDescent="0.25">
      <c r="C24" s="2432" t="s">
        <v>1474</v>
      </c>
      <c r="D24" s="2432"/>
      <c r="E24" s="2432"/>
      <c r="F24" s="2432"/>
      <c r="G24" s="2432"/>
      <c r="H24" s="1588"/>
    </row>
    <row r="25" spans="1:42" ht="15.75" x14ac:dyDescent="0.25">
      <c r="C25" s="2433" t="s">
        <v>1475</v>
      </c>
      <c r="D25" s="2433"/>
      <c r="E25" s="2433"/>
      <c r="F25" s="2433"/>
      <c r="G25" s="2433"/>
      <c r="H25" s="1600"/>
      <c r="P25" s="1421"/>
    </row>
    <row r="26" spans="1:42" x14ac:dyDescent="0.2">
      <c r="C26" s="180"/>
      <c r="D26" s="441"/>
      <c r="E26" s="440"/>
      <c r="F26" s="443"/>
      <c r="G26" s="444"/>
      <c r="H26" s="444"/>
    </row>
  </sheetData>
  <sheetProtection password="A60F" sheet="1" objects="1" scenarios="1"/>
  <mergeCells count="101">
    <mergeCell ref="B20:C20"/>
    <mergeCell ref="C24:G24"/>
    <mergeCell ref="C25:G25"/>
    <mergeCell ref="AG17:AG19"/>
    <mergeCell ref="AH17:AH19"/>
    <mergeCell ref="AI17:AI19"/>
    <mergeCell ref="AJ17:AJ19"/>
    <mergeCell ref="AK17:AK19"/>
    <mergeCell ref="AL17:AL19"/>
    <mergeCell ref="AA17:AA19"/>
    <mergeCell ref="AB17:AB19"/>
    <mergeCell ref="AC17:AC19"/>
    <mergeCell ref="AD17:AD19"/>
    <mergeCell ref="AE17:AE19"/>
    <mergeCell ref="AF17:AF19"/>
    <mergeCell ref="R17:R19"/>
    <mergeCell ref="S17:S19"/>
    <mergeCell ref="W17:W19"/>
    <mergeCell ref="X17:X19"/>
    <mergeCell ref="Y17:Y19"/>
    <mergeCell ref="Z17:Z19"/>
    <mergeCell ref="P17:P19"/>
    <mergeCell ref="Q17:Q19"/>
    <mergeCell ref="G17:G19"/>
    <mergeCell ref="H17:H19"/>
    <mergeCell ref="I17:I19"/>
    <mergeCell ref="J17:J19"/>
    <mergeCell ref="K17:K19"/>
    <mergeCell ref="AE11:AE16"/>
    <mergeCell ref="AF11:AF16"/>
    <mergeCell ref="AG11:AG16"/>
    <mergeCell ref="AH11:AH16"/>
    <mergeCell ref="Y11:Y16"/>
    <mergeCell ref="Z11:Z16"/>
    <mergeCell ref="AA11:AA16"/>
    <mergeCell ref="AB11:AB16"/>
    <mergeCell ref="AC11:AC16"/>
    <mergeCell ref="AD11:AD16"/>
    <mergeCell ref="P11:P16"/>
    <mergeCell ref="Q11:Q16"/>
    <mergeCell ref="AN11:AN16"/>
    <mergeCell ref="AO11:AO16"/>
    <mergeCell ref="AI11:AI16"/>
    <mergeCell ref="AJ11:AJ16"/>
    <mergeCell ref="R11:R16"/>
    <mergeCell ref="S11:S12"/>
    <mergeCell ref="W11:W16"/>
    <mergeCell ref="L17:L19"/>
    <mergeCell ref="M17:M19"/>
    <mergeCell ref="N17:N19"/>
    <mergeCell ref="O17:O19"/>
    <mergeCell ref="M11:M16"/>
    <mergeCell ref="N11:N16"/>
    <mergeCell ref="O11:O16"/>
    <mergeCell ref="AK11:AK16"/>
    <mergeCell ref="AL11:AL16"/>
    <mergeCell ref="AM11:AM16"/>
    <mergeCell ref="X11:X16"/>
    <mergeCell ref="AM17:AM19"/>
    <mergeCell ref="AN17:AN19"/>
    <mergeCell ref="AO17:AO19"/>
    <mergeCell ref="B10:C10"/>
    <mergeCell ref="E10:M10"/>
    <mergeCell ref="B11:C11"/>
    <mergeCell ref="E11:F11"/>
    <mergeCell ref="G11:G16"/>
    <mergeCell ref="H11:H16"/>
    <mergeCell ref="I11:I16"/>
    <mergeCell ref="W7:X7"/>
    <mergeCell ref="Y7:AB7"/>
    <mergeCell ref="P7:P8"/>
    <mergeCell ref="Q7:Q8"/>
    <mergeCell ref="R7:R8"/>
    <mergeCell ref="S7:S8"/>
    <mergeCell ref="U7:U8"/>
    <mergeCell ref="V7:V8"/>
    <mergeCell ref="I7:I8"/>
    <mergeCell ref="J7:J8"/>
    <mergeCell ref="L7:L8"/>
    <mergeCell ref="M7:M8"/>
    <mergeCell ref="N7:N8"/>
    <mergeCell ref="O7:O8"/>
    <mergeCell ref="J11:J16"/>
    <mergeCell ref="K11:K16"/>
    <mergeCell ref="L11:L16"/>
    <mergeCell ref="A1:AM4"/>
    <mergeCell ref="A5:K6"/>
    <mergeCell ref="L5:AO5"/>
    <mergeCell ref="W6:AK6"/>
    <mergeCell ref="A7:A8"/>
    <mergeCell ref="B7:C8"/>
    <mergeCell ref="D7:D8"/>
    <mergeCell ref="E7:F8"/>
    <mergeCell ref="G7:G8"/>
    <mergeCell ref="H7:H8"/>
    <mergeCell ref="AN7:AN8"/>
    <mergeCell ref="AO7:AO8"/>
    <mergeCell ref="AC7:AH7"/>
    <mergeCell ref="AI7:AK7"/>
    <mergeCell ref="AL7:AL8"/>
    <mergeCell ref="AM7:A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U118"/>
  <sheetViews>
    <sheetView showGridLines="0" zoomScale="60" zoomScaleNormal="60" workbookViewId="0">
      <selection sqref="A1:AM4"/>
    </sheetView>
  </sheetViews>
  <sheetFormatPr baseColWidth="10" defaultColWidth="11.42578125" defaultRowHeight="15" x14ac:dyDescent="0.25"/>
  <cols>
    <col min="1" max="1" width="14.140625" style="1183" customWidth="1"/>
    <col min="2" max="2" width="2" style="1184" customWidth="1"/>
    <col min="3" max="3" width="18.140625" style="1184" customWidth="1"/>
    <col min="4" max="4" width="13.7109375" style="1184" customWidth="1"/>
    <col min="5" max="5" width="6.7109375" style="1184" customWidth="1"/>
    <col min="6" max="6" width="14.28515625" style="1184" customWidth="1"/>
    <col min="7" max="7" width="14.85546875" style="1184" customWidth="1"/>
    <col min="8" max="8" width="17.7109375" style="1184" customWidth="1"/>
    <col min="9" max="9" width="38.140625" style="1294" customWidth="1"/>
    <col min="10" max="10" width="38.28515625" style="1294" customWidth="1"/>
    <col min="11" max="11" width="13.85546875" style="169" customWidth="1"/>
    <col min="12" max="12" width="44.5703125" style="169" customWidth="1"/>
    <col min="13" max="13" width="27.42578125" style="169" customWidth="1"/>
    <col min="14" max="14" width="42" style="1294" customWidth="1"/>
    <col min="15" max="15" width="23.42578125" style="164" customWidth="1"/>
    <col min="16" max="16" width="31" style="1583" customWidth="1"/>
    <col min="17" max="17" width="55.7109375" style="1294" customWidth="1"/>
    <col min="18" max="18" width="73.7109375" style="1294" customWidth="1"/>
    <col min="19" max="19" width="65.85546875" style="1294" customWidth="1"/>
    <col min="20" max="20" width="31.5703125" style="1583" customWidth="1"/>
    <col min="21" max="21" width="17.5703125" style="168" customWidth="1"/>
    <col min="22" max="22" width="26.28515625" style="169" customWidth="1"/>
    <col min="23" max="23" width="11.5703125" style="1184" customWidth="1"/>
    <col min="24" max="24" width="12" style="1184" customWidth="1"/>
    <col min="25" max="25" width="11" style="1184" customWidth="1"/>
    <col min="26" max="26" width="10.140625" style="1184" customWidth="1"/>
    <col min="27" max="27" width="11.7109375" style="1184" customWidth="1"/>
    <col min="28" max="28" width="10" style="1184" customWidth="1"/>
    <col min="29" max="29" width="8.5703125" style="1184" customWidth="1"/>
    <col min="30" max="30" width="9.140625" style="1184" customWidth="1"/>
    <col min="31" max="34" width="7.140625" style="1184" customWidth="1"/>
    <col min="35" max="35" width="8.85546875" style="1184" customWidth="1"/>
    <col min="36" max="36" width="9.42578125" style="1184" customWidth="1"/>
    <col min="37" max="37" width="10.140625" style="1184" customWidth="1"/>
    <col min="38" max="38" width="12" style="1184" customWidth="1"/>
    <col min="39" max="39" width="24.42578125" style="171" customWidth="1"/>
    <col min="40" max="40" width="26.85546875" style="171" customWidth="1"/>
    <col min="41" max="41" width="30.85546875" style="1184" customWidth="1"/>
    <col min="42" max="16384" width="11.42578125" style="1184"/>
  </cols>
  <sheetData>
    <row r="1" spans="1:59" ht="15" customHeight="1" x14ac:dyDescent="0.25">
      <c r="A1" s="2443" t="s">
        <v>1301</v>
      </c>
      <c r="B1" s="2444"/>
      <c r="C1" s="2444"/>
      <c r="D1" s="2444"/>
      <c r="E1" s="2444"/>
      <c r="F1" s="2444"/>
      <c r="G1" s="2444"/>
      <c r="H1" s="2444"/>
      <c r="I1" s="2444"/>
      <c r="J1" s="2444"/>
      <c r="K1" s="2444"/>
      <c r="L1" s="2444"/>
      <c r="M1" s="2444"/>
      <c r="N1" s="2444"/>
      <c r="O1" s="2444"/>
      <c r="P1" s="2444"/>
      <c r="Q1" s="2444"/>
      <c r="R1" s="2444"/>
      <c r="S1" s="2444"/>
      <c r="T1" s="2444"/>
      <c r="U1" s="2444"/>
      <c r="V1" s="2444"/>
      <c r="W1" s="2444"/>
      <c r="X1" s="2444"/>
      <c r="Y1" s="2444"/>
      <c r="Z1" s="2444"/>
      <c r="AA1" s="2444"/>
      <c r="AB1" s="2444"/>
      <c r="AC1" s="2444"/>
      <c r="AD1" s="2444"/>
      <c r="AE1" s="2444"/>
      <c r="AF1" s="2444"/>
      <c r="AG1" s="2444"/>
      <c r="AH1" s="2444"/>
      <c r="AI1" s="2444"/>
      <c r="AJ1" s="2444"/>
      <c r="AK1" s="2444"/>
      <c r="AL1" s="2444"/>
      <c r="AM1" s="2444"/>
      <c r="AN1" s="1466" t="s">
        <v>1</v>
      </c>
      <c r="AO1" s="1467" t="s">
        <v>210</v>
      </c>
      <c r="AQ1" s="169"/>
      <c r="AR1" s="169"/>
      <c r="AS1" s="169"/>
      <c r="AT1" s="169"/>
      <c r="AU1" s="169"/>
      <c r="AV1" s="169"/>
      <c r="AW1" s="169"/>
      <c r="AX1" s="169"/>
      <c r="AY1" s="169"/>
      <c r="AZ1" s="169"/>
      <c r="BA1" s="169"/>
      <c r="BB1" s="169"/>
      <c r="BC1" s="169"/>
      <c r="BD1" s="169"/>
      <c r="BE1" s="169"/>
      <c r="BF1" s="169"/>
    </row>
    <row r="2" spans="1:59" ht="15" customHeight="1" x14ac:dyDescent="0.25">
      <c r="A2" s="2445"/>
      <c r="B2" s="2446"/>
      <c r="C2" s="2446"/>
      <c r="D2" s="2446"/>
      <c r="E2" s="2446"/>
      <c r="F2" s="2446"/>
      <c r="G2" s="2446"/>
      <c r="H2" s="2446"/>
      <c r="I2" s="2446"/>
      <c r="J2" s="2446"/>
      <c r="K2" s="2446"/>
      <c r="L2" s="2446"/>
      <c r="M2" s="2446"/>
      <c r="N2" s="2446"/>
      <c r="O2" s="2446"/>
      <c r="P2" s="2446"/>
      <c r="Q2" s="2446"/>
      <c r="R2" s="2446"/>
      <c r="S2" s="2446"/>
      <c r="T2" s="2446"/>
      <c r="U2" s="2446"/>
      <c r="V2" s="2446"/>
      <c r="W2" s="2446"/>
      <c r="X2" s="2446"/>
      <c r="Y2" s="2446"/>
      <c r="Z2" s="2446"/>
      <c r="AA2" s="2446"/>
      <c r="AB2" s="2446"/>
      <c r="AC2" s="2446"/>
      <c r="AD2" s="2446"/>
      <c r="AE2" s="2446"/>
      <c r="AF2" s="2446"/>
      <c r="AG2" s="2446"/>
      <c r="AH2" s="2446"/>
      <c r="AI2" s="2446"/>
      <c r="AJ2" s="2446"/>
      <c r="AK2" s="2446"/>
      <c r="AL2" s="2446"/>
      <c r="AM2" s="2446"/>
      <c r="AN2" s="1337" t="s">
        <v>3</v>
      </c>
      <c r="AO2" s="1468">
        <v>6</v>
      </c>
      <c r="AP2" s="1469"/>
      <c r="AQ2" s="169"/>
      <c r="AR2" s="169"/>
      <c r="AS2" s="169"/>
      <c r="AT2" s="169"/>
      <c r="AU2" s="169"/>
      <c r="AV2" s="169"/>
      <c r="AW2" s="169"/>
      <c r="AX2" s="169"/>
      <c r="AY2" s="169"/>
      <c r="AZ2" s="169"/>
      <c r="BA2" s="169"/>
      <c r="BB2" s="169"/>
      <c r="BC2" s="169"/>
      <c r="BD2" s="169"/>
      <c r="BE2" s="169"/>
      <c r="BF2" s="169"/>
    </row>
    <row r="3" spans="1:59" ht="15" customHeight="1" x14ac:dyDescent="0.25">
      <c r="A3" s="2445"/>
      <c r="B3" s="2446"/>
      <c r="C3" s="2446"/>
      <c r="D3" s="2446"/>
      <c r="E3" s="2446"/>
      <c r="F3" s="2446"/>
      <c r="G3" s="2446"/>
      <c r="H3" s="2446"/>
      <c r="I3" s="2446"/>
      <c r="J3" s="2446"/>
      <c r="K3" s="2446"/>
      <c r="L3" s="2446"/>
      <c r="M3" s="2446"/>
      <c r="N3" s="2446"/>
      <c r="O3" s="2446"/>
      <c r="P3" s="2446"/>
      <c r="Q3" s="2446"/>
      <c r="R3" s="2446"/>
      <c r="S3" s="2446"/>
      <c r="T3" s="2446"/>
      <c r="U3" s="2446"/>
      <c r="V3" s="2446"/>
      <c r="W3" s="2446"/>
      <c r="X3" s="2446"/>
      <c r="Y3" s="2446"/>
      <c r="Z3" s="2446"/>
      <c r="AA3" s="2446"/>
      <c r="AB3" s="2446"/>
      <c r="AC3" s="2446"/>
      <c r="AD3" s="2446"/>
      <c r="AE3" s="2446"/>
      <c r="AF3" s="2446"/>
      <c r="AG3" s="2446"/>
      <c r="AH3" s="2446"/>
      <c r="AI3" s="2446"/>
      <c r="AJ3" s="2446"/>
      <c r="AK3" s="2446"/>
      <c r="AL3" s="2446"/>
      <c r="AM3" s="2446"/>
      <c r="AN3" s="1337" t="s">
        <v>5</v>
      </c>
      <c r="AO3" s="1470" t="s">
        <v>6</v>
      </c>
      <c r="AP3" s="1469"/>
      <c r="AQ3" s="169"/>
      <c r="AR3" s="169"/>
      <c r="AS3" s="169"/>
      <c r="AT3" s="169"/>
      <c r="AU3" s="169"/>
      <c r="AV3" s="169"/>
      <c r="AW3" s="169"/>
      <c r="AX3" s="169"/>
      <c r="AY3" s="169"/>
      <c r="AZ3" s="169"/>
      <c r="BA3" s="169"/>
      <c r="BB3" s="169"/>
      <c r="BC3" s="169"/>
      <c r="BD3" s="169"/>
      <c r="BE3" s="169"/>
      <c r="BF3" s="169"/>
    </row>
    <row r="4" spans="1:59" ht="15" customHeight="1" x14ac:dyDescent="0.25">
      <c r="A4" s="2447"/>
      <c r="B4" s="2448"/>
      <c r="C4" s="2448"/>
      <c r="D4" s="2448"/>
      <c r="E4" s="2448"/>
      <c r="F4" s="2448"/>
      <c r="G4" s="2448"/>
      <c r="H4" s="2448"/>
      <c r="I4" s="2448"/>
      <c r="J4" s="2448"/>
      <c r="K4" s="2448"/>
      <c r="L4" s="2448"/>
      <c r="M4" s="2448"/>
      <c r="N4" s="2448"/>
      <c r="O4" s="2448"/>
      <c r="P4" s="2448"/>
      <c r="Q4" s="2448"/>
      <c r="R4" s="2448"/>
      <c r="S4" s="2448"/>
      <c r="T4" s="2448"/>
      <c r="U4" s="2448"/>
      <c r="V4" s="2448"/>
      <c r="W4" s="2448"/>
      <c r="X4" s="2448"/>
      <c r="Y4" s="2448"/>
      <c r="Z4" s="2448"/>
      <c r="AA4" s="2448"/>
      <c r="AB4" s="2448"/>
      <c r="AC4" s="2448"/>
      <c r="AD4" s="2448"/>
      <c r="AE4" s="2448"/>
      <c r="AF4" s="2448"/>
      <c r="AG4" s="2448"/>
      <c r="AH4" s="2448"/>
      <c r="AI4" s="2448"/>
      <c r="AJ4" s="2448"/>
      <c r="AK4" s="2448"/>
      <c r="AL4" s="2448"/>
      <c r="AM4" s="2448"/>
      <c r="AN4" s="1337" t="s">
        <v>7</v>
      </c>
      <c r="AO4" s="1471" t="s">
        <v>287</v>
      </c>
      <c r="AP4" s="1469"/>
      <c r="AQ4" s="169"/>
      <c r="AR4" s="169"/>
      <c r="AS4" s="169"/>
      <c r="AT4" s="169"/>
      <c r="AU4" s="169"/>
      <c r="AV4" s="169"/>
      <c r="AW4" s="169"/>
      <c r="AX4" s="169"/>
      <c r="AY4" s="169"/>
      <c r="AZ4" s="169"/>
      <c r="BA4" s="169"/>
      <c r="BB4" s="169"/>
      <c r="BC4" s="169"/>
      <c r="BD4" s="169"/>
      <c r="BE4" s="169"/>
      <c r="BF4" s="169"/>
    </row>
    <row r="5" spans="1:59" ht="31.5" customHeight="1" x14ac:dyDescent="0.25">
      <c r="A5" s="2151" t="s">
        <v>1302</v>
      </c>
      <c r="B5" s="2152"/>
      <c r="C5" s="2152"/>
      <c r="D5" s="2152"/>
      <c r="E5" s="2152"/>
      <c r="F5" s="2152"/>
      <c r="G5" s="2152"/>
      <c r="H5" s="2152"/>
      <c r="I5" s="2152"/>
      <c r="J5" s="2152"/>
      <c r="K5" s="2152"/>
      <c r="L5" s="1288"/>
      <c r="M5" s="2155" t="s">
        <v>10</v>
      </c>
      <c r="N5" s="2156"/>
      <c r="O5" s="2156"/>
      <c r="P5" s="2156"/>
      <c r="Q5" s="2156"/>
      <c r="R5" s="2156"/>
      <c r="S5" s="2156"/>
      <c r="T5" s="2156"/>
      <c r="U5" s="2156"/>
      <c r="V5" s="2156"/>
      <c r="W5" s="2156"/>
      <c r="X5" s="2156"/>
      <c r="Y5" s="2156"/>
      <c r="Z5" s="2156"/>
      <c r="AA5" s="2156"/>
      <c r="AB5" s="2156"/>
      <c r="AC5" s="2156"/>
      <c r="AD5" s="2156"/>
      <c r="AE5" s="2156"/>
      <c r="AF5" s="2156"/>
      <c r="AG5" s="2156"/>
      <c r="AH5" s="2156"/>
      <c r="AI5" s="2156"/>
      <c r="AJ5" s="2156"/>
      <c r="AK5" s="2156"/>
      <c r="AL5" s="2156"/>
      <c r="AM5" s="2156"/>
      <c r="AN5" s="2156"/>
      <c r="AO5" s="2157"/>
      <c r="AP5" s="1314"/>
      <c r="AQ5" s="169"/>
      <c r="AR5" s="169"/>
      <c r="AS5" s="169"/>
      <c r="AT5" s="169"/>
      <c r="AU5" s="169"/>
      <c r="AV5" s="169"/>
      <c r="AW5" s="169"/>
      <c r="AX5" s="169"/>
      <c r="AY5" s="169"/>
      <c r="AZ5" s="169"/>
      <c r="BA5" s="169"/>
      <c r="BB5" s="169"/>
      <c r="BC5" s="169"/>
      <c r="BD5" s="169"/>
      <c r="BE5" s="169"/>
      <c r="BF5" s="169"/>
    </row>
    <row r="6" spans="1:59" ht="18" customHeight="1" x14ac:dyDescent="0.25">
      <c r="A6" s="2153"/>
      <c r="B6" s="2154"/>
      <c r="C6" s="2154"/>
      <c r="D6" s="2154"/>
      <c r="E6" s="2154"/>
      <c r="F6" s="2154"/>
      <c r="G6" s="2154"/>
      <c r="H6" s="2154"/>
      <c r="I6" s="2154"/>
      <c r="J6" s="2154"/>
      <c r="K6" s="2154"/>
      <c r="L6" s="1289"/>
      <c r="M6" s="1315"/>
      <c r="N6" s="1472"/>
      <c r="O6" s="1289"/>
      <c r="P6" s="1473"/>
      <c r="Q6" s="1474"/>
      <c r="R6" s="1289"/>
      <c r="S6" s="917"/>
      <c r="T6" s="1473"/>
      <c r="U6" s="1289"/>
      <c r="V6" s="1289"/>
      <c r="W6" s="1289"/>
      <c r="X6" s="2156"/>
      <c r="Y6" s="2156"/>
      <c r="Z6" s="2156"/>
      <c r="AA6" s="2156"/>
      <c r="AB6" s="2156"/>
      <c r="AC6" s="2156"/>
      <c r="AD6" s="2156"/>
      <c r="AE6" s="2156"/>
      <c r="AF6" s="2156"/>
      <c r="AG6" s="2156"/>
      <c r="AH6" s="2156"/>
      <c r="AI6" s="2156"/>
      <c r="AJ6" s="2156"/>
      <c r="AK6" s="2156"/>
      <c r="AL6" s="1289"/>
      <c r="AM6" s="1475"/>
      <c r="AN6" s="373"/>
      <c r="AO6" s="373"/>
      <c r="AP6" s="1476"/>
      <c r="AQ6" s="169"/>
      <c r="AR6" s="169"/>
      <c r="AS6" s="169"/>
      <c r="AT6" s="169"/>
      <c r="AU6" s="169"/>
      <c r="AV6" s="169"/>
      <c r="AW6" s="169"/>
      <c r="AX6" s="169"/>
      <c r="AY6" s="169"/>
      <c r="AZ6" s="169"/>
      <c r="BA6" s="169"/>
      <c r="BB6" s="169"/>
      <c r="BC6" s="169"/>
      <c r="BD6" s="169"/>
      <c r="BE6" s="169"/>
      <c r="BF6" s="169"/>
    </row>
    <row r="7" spans="1:59" ht="36" customHeight="1" x14ac:dyDescent="0.25">
      <c r="A7" s="2158" t="s">
        <v>12</v>
      </c>
      <c r="B7" s="2160" t="s">
        <v>13</v>
      </c>
      <c r="C7" s="2161"/>
      <c r="D7" s="2161" t="s">
        <v>12</v>
      </c>
      <c r="E7" s="2160" t="s">
        <v>14</v>
      </c>
      <c r="F7" s="2161"/>
      <c r="G7" s="2161" t="s">
        <v>12</v>
      </c>
      <c r="H7" s="2143" t="s">
        <v>289</v>
      </c>
      <c r="I7" s="2160" t="s">
        <v>15</v>
      </c>
      <c r="J7" s="2143" t="s">
        <v>16</v>
      </c>
      <c r="K7" s="2143" t="s">
        <v>17</v>
      </c>
      <c r="L7" s="2143" t="s">
        <v>18</v>
      </c>
      <c r="M7" s="2143" t="s">
        <v>19</v>
      </c>
      <c r="N7" s="2143" t="s">
        <v>10</v>
      </c>
      <c r="O7" s="2165" t="s">
        <v>20</v>
      </c>
      <c r="P7" s="2467" t="s">
        <v>21</v>
      </c>
      <c r="Q7" s="2160" t="s">
        <v>22</v>
      </c>
      <c r="R7" s="2160" t="s">
        <v>23</v>
      </c>
      <c r="S7" s="2143" t="s">
        <v>24</v>
      </c>
      <c r="T7" s="2469" t="s">
        <v>21</v>
      </c>
      <c r="U7" s="2169" t="s">
        <v>12</v>
      </c>
      <c r="V7" s="2143" t="s">
        <v>25</v>
      </c>
      <c r="W7" s="2185" t="s">
        <v>26</v>
      </c>
      <c r="X7" s="2186"/>
      <c r="Y7" s="2187" t="s">
        <v>27</v>
      </c>
      <c r="Z7" s="2188"/>
      <c r="AA7" s="2188"/>
      <c r="AB7" s="2188"/>
      <c r="AC7" s="2189" t="s">
        <v>28</v>
      </c>
      <c r="AD7" s="2189"/>
      <c r="AE7" s="2189"/>
      <c r="AF7" s="2189"/>
      <c r="AG7" s="2189"/>
      <c r="AH7" s="2189"/>
      <c r="AI7" s="2187" t="s">
        <v>29</v>
      </c>
      <c r="AJ7" s="2188"/>
      <c r="AK7" s="2188"/>
      <c r="AL7" s="1477" t="s">
        <v>30</v>
      </c>
      <c r="AM7" s="2399" t="s">
        <v>31</v>
      </c>
      <c r="AN7" s="2450" t="s">
        <v>32</v>
      </c>
      <c r="AO7" s="2453" t="s">
        <v>33</v>
      </c>
      <c r="AP7" s="1478"/>
      <c r="AQ7" s="169"/>
      <c r="AR7" s="169"/>
      <c r="AS7" s="169"/>
      <c r="AT7" s="169"/>
      <c r="AU7" s="169"/>
      <c r="AV7" s="169"/>
      <c r="AW7" s="169"/>
      <c r="AX7" s="169"/>
      <c r="AY7" s="169"/>
      <c r="AZ7" s="169"/>
      <c r="BA7" s="169"/>
      <c r="BB7" s="169"/>
      <c r="BC7" s="169"/>
      <c r="BD7" s="169"/>
      <c r="BE7" s="169"/>
      <c r="BF7" s="169"/>
    </row>
    <row r="8" spans="1:59" ht="54.75" customHeight="1" x14ac:dyDescent="0.25">
      <c r="A8" s="2159"/>
      <c r="B8" s="2162"/>
      <c r="C8" s="2163"/>
      <c r="D8" s="2163"/>
      <c r="E8" s="2162"/>
      <c r="F8" s="2163"/>
      <c r="G8" s="2163"/>
      <c r="H8" s="2144"/>
      <c r="I8" s="2162"/>
      <c r="J8" s="2144"/>
      <c r="K8" s="2144"/>
      <c r="L8" s="2144"/>
      <c r="M8" s="2144"/>
      <c r="N8" s="2144"/>
      <c r="O8" s="2166"/>
      <c r="P8" s="2468"/>
      <c r="Q8" s="2162"/>
      <c r="R8" s="2162"/>
      <c r="S8" s="2144"/>
      <c r="T8" s="2470"/>
      <c r="U8" s="2170"/>
      <c r="V8" s="2144"/>
      <c r="W8" s="2454" t="s">
        <v>35</v>
      </c>
      <c r="X8" s="2454" t="s">
        <v>36</v>
      </c>
      <c r="Y8" s="2454" t="s">
        <v>37</v>
      </c>
      <c r="Z8" s="2454" t="s">
        <v>38</v>
      </c>
      <c r="AA8" s="2454" t="s">
        <v>39</v>
      </c>
      <c r="AB8" s="2454" t="s">
        <v>40</v>
      </c>
      <c r="AC8" s="2454" t="s">
        <v>41</v>
      </c>
      <c r="AD8" s="2454" t="s">
        <v>42</v>
      </c>
      <c r="AE8" s="2454" t="s">
        <v>43</v>
      </c>
      <c r="AF8" s="2454" t="s">
        <v>44</v>
      </c>
      <c r="AG8" s="2454" t="s">
        <v>45</v>
      </c>
      <c r="AH8" s="2454" t="s">
        <v>46</v>
      </c>
      <c r="AI8" s="2454" t="s">
        <v>47</v>
      </c>
      <c r="AJ8" s="2454" t="s">
        <v>48</v>
      </c>
      <c r="AK8" s="2454" t="s">
        <v>49</v>
      </c>
      <c r="AL8" s="2456" t="s">
        <v>30</v>
      </c>
      <c r="AM8" s="2399"/>
      <c r="AN8" s="2451"/>
      <c r="AO8" s="2453"/>
      <c r="AP8" s="1478"/>
      <c r="AQ8" s="169"/>
      <c r="AR8" s="169"/>
      <c r="AS8" s="169"/>
      <c r="AT8" s="169"/>
      <c r="AU8" s="169"/>
      <c r="AV8" s="169"/>
      <c r="AW8" s="169"/>
      <c r="AX8" s="169"/>
      <c r="AY8" s="169"/>
      <c r="AZ8" s="169"/>
      <c r="BA8" s="169"/>
      <c r="BB8" s="169"/>
      <c r="BC8" s="169"/>
      <c r="BD8" s="169"/>
      <c r="BE8" s="169"/>
      <c r="BF8" s="169"/>
    </row>
    <row r="9" spans="1:59" ht="111" customHeight="1" x14ac:dyDescent="0.25">
      <c r="A9" s="2159"/>
      <c r="B9" s="2162"/>
      <c r="C9" s="2163"/>
      <c r="D9" s="2163"/>
      <c r="E9" s="2162"/>
      <c r="F9" s="2163"/>
      <c r="G9" s="2163"/>
      <c r="H9" s="2449"/>
      <c r="I9" s="2162"/>
      <c r="J9" s="2144"/>
      <c r="K9" s="2449"/>
      <c r="L9" s="2144"/>
      <c r="M9" s="2144"/>
      <c r="N9" s="2144"/>
      <c r="O9" s="2166"/>
      <c r="P9" s="2468"/>
      <c r="Q9" s="2162"/>
      <c r="R9" s="2162"/>
      <c r="S9" s="2144"/>
      <c r="T9" s="2471"/>
      <c r="U9" s="2396"/>
      <c r="V9" s="2144"/>
      <c r="W9" s="2455"/>
      <c r="X9" s="2455" t="s">
        <v>325</v>
      </c>
      <c r="Y9" s="2455" t="s">
        <v>325</v>
      </c>
      <c r="Z9" s="2455" t="s">
        <v>325</v>
      </c>
      <c r="AA9" s="2455" t="s">
        <v>325</v>
      </c>
      <c r="AB9" s="2455" t="s">
        <v>325</v>
      </c>
      <c r="AC9" s="2455" t="s">
        <v>325</v>
      </c>
      <c r="AD9" s="2455" t="s">
        <v>325</v>
      </c>
      <c r="AE9" s="2455" t="s">
        <v>325</v>
      </c>
      <c r="AF9" s="2455" t="s">
        <v>325</v>
      </c>
      <c r="AG9" s="2455" t="s">
        <v>325</v>
      </c>
      <c r="AH9" s="2455" t="s">
        <v>325</v>
      </c>
      <c r="AI9" s="2455" t="s">
        <v>325</v>
      </c>
      <c r="AJ9" s="2455" t="s">
        <v>325</v>
      </c>
      <c r="AK9" s="2455" t="s">
        <v>325</v>
      </c>
      <c r="AL9" s="2457"/>
      <c r="AM9" s="2399"/>
      <c r="AN9" s="2452"/>
      <c r="AO9" s="2175"/>
      <c r="AP9" s="169"/>
      <c r="AQ9" s="169"/>
      <c r="AR9" s="169"/>
      <c r="AS9" s="169"/>
      <c r="AT9" s="169"/>
      <c r="AU9" s="169"/>
      <c r="AV9" s="169"/>
      <c r="AW9" s="169"/>
      <c r="AX9" s="169"/>
      <c r="AY9" s="169"/>
      <c r="AZ9" s="169"/>
      <c r="BA9" s="169"/>
      <c r="BB9" s="169"/>
      <c r="BC9" s="169"/>
      <c r="BD9" s="169"/>
      <c r="BE9" s="169"/>
      <c r="BF9" s="169"/>
    </row>
    <row r="10" spans="1:59" ht="27" customHeight="1" x14ac:dyDescent="0.25">
      <c r="A10" s="1479">
        <v>1</v>
      </c>
      <c r="B10" s="191" t="s">
        <v>214</v>
      </c>
      <c r="C10" s="640"/>
      <c r="D10" s="1480"/>
      <c r="E10" s="640"/>
      <c r="F10" s="640"/>
      <c r="G10" s="640"/>
      <c r="H10" s="640"/>
      <c r="I10" s="1481"/>
      <c r="J10" s="1481"/>
      <c r="K10" s="1482"/>
      <c r="L10" s="1482"/>
      <c r="M10" s="1482"/>
      <c r="N10" s="1483"/>
      <c r="O10" s="1484"/>
      <c r="P10" s="1485"/>
      <c r="Q10" s="1483"/>
      <c r="R10" s="1483"/>
      <c r="S10" s="1483"/>
      <c r="T10" s="1485"/>
      <c r="U10" s="1486"/>
      <c r="V10" s="1482"/>
      <c r="W10" s="1482"/>
      <c r="X10" s="1482"/>
      <c r="Y10" s="1482"/>
      <c r="Z10" s="1482"/>
      <c r="AA10" s="1482"/>
      <c r="AB10" s="1482"/>
      <c r="AC10" s="1482"/>
      <c r="AD10" s="1482"/>
      <c r="AE10" s="1482"/>
      <c r="AF10" s="1482"/>
      <c r="AG10" s="1482"/>
      <c r="AH10" s="1482"/>
      <c r="AI10" s="1482"/>
      <c r="AJ10" s="1482"/>
      <c r="AK10" s="1482"/>
      <c r="AL10" s="1482"/>
      <c r="AM10" s="1487"/>
      <c r="AN10" s="1487"/>
      <c r="AO10" s="1488"/>
      <c r="AP10" s="169"/>
      <c r="AQ10" s="169"/>
      <c r="AR10" s="169"/>
      <c r="AS10" s="169"/>
      <c r="AT10" s="169"/>
      <c r="AU10" s="169"/>
      <c r="AV10" s="169"/>
      <c r="AW10" s="169"/>
      <c r="AX10" s="169"/>
      <c r="AY10" s="169"/>
      <c r="AZ10" s="169"/>
      <c r="BA10" s="169"/>
      <c r="BB10" s="169"/>
      <c r="BC10" s="169"/>
      <c r="BD10" s="169"/>
      <c r="BE10" s="169"/>
      <c r="BF10" s="169"/>
      <c r="BG10" s="169"/>
    </row>
    <row r="11" spans="1:59" s="169" customFormat="1" ht="21" customHeight="1" x14ac:dyDescent="0.25">
      <c r="A11" s="1283"/>
      <c r="B11" s="1354"/>
      <c r="C11" s="1355"/>
      <c r="D11" s="1530">
        <v>1</v>
      </c>
      <c r="E11" s="836" t="s">
        <v>1303</v>
      </c>
      <c r="F11" s="1513"/>
      <c r="G11" s="209"/>
      <c r="H11" s="209"/>
      <c r="I11" s="1490"/>
      <c r="J11" s="1490"/>
      <c r="K11" s="211"/>
      <c r="L11" s="262"/>
      <c r="M11" s="262"/>
      <c r="N11" s="1491"/>
      <c r="O11" s="296"/>
      <c r="P11" s="1492"/>
      <c r="Q11" s="1491"/>
      <c r="R11" s="1491"/>
      <c r="S11" s="1491"/>
      <c r="T11" s="1492"/>
      <c r="U11" s="1493"/>
      <c r="V11" s="262"/>
      <c r="W11" s="262"/>
      <c r="X11" s="262"/>
      <c r="Y11" s="262"/>
      <c r="Z11" s="262"/>
      <c r="AA11" s="262"/>
      <c r="AB11" s="262"/>
      <c r="AC11" s="262"/>
      <c r="AD11" s="262"/>
      <c r="AE11" s="262"/>
      <c r="AF11" s="262"/>
      <c r="AG11" s="262"/>
      <c r="AH11" s="262"/>
      <c r="AI11" s="262"/>
      <c r="AJ11" s="262"/>
      <c r="AK11" s="262"/>
      <c r="AL11" s="262"/>
      <c r="AM11" s="269"/>
      <c r="AN11" s="269"/>
      <c r="AO11" s="1494"/>
    </row>
    <row r="12" spans="1:59" s="169" customFormat="1" ht="171" customHeight="1" x14ac:dyDescent="0.25">
      <c r="A12" s="1278"/>
      <c r="B12" s="1294"/>
      <c r="C12" s="1295"/>
      <c r="D12" s="1725"/>
      <c r="E12" s="1726"/>
      <c r="F12" s="1727"/>
      <c r="G12" s="1608" t="s">
        <v>52</v>
      </c>
      <c r="H12" s="1285">
        <v>1.2</v>
      </c>
      <c r="I12" s="1495" t="s">
        <v>1304</v>
      </c>
      <c r="J12" s="1305" t="s">
        <v>1305</v>
      </c>
      <c r="K12" s="1496">
        <v>1</v>
      </c>
      <c r="L12" s="1303" t="s">
        <v>1306</v>
      </c>
      <c r="M12" s="1284" t="s">
        <v>1307</v>
      </c>
      <c r="N12" s="1300" t="s">
        <v>1308</v>
      </c>
      <c r="O12" s="1306">
        <f>+T12/P12</f>
        <v>1</v>
      </c>
      <c r="P12" s="1497">
        <f>SUM(T12)</f>
        <v>3000000</v>
      </c>
      <c r="Q12" s="1286" t="s">
        <v>1309</v>
      </c>
      <c r="R12" s="1286" t="s">
        <v>1310</v>
      </c>
      <c r="S12" s="1495" t="s">
        <v>1311</v>
      </c>
      <c r="T12" s="1498">
        <v>3000000</v>
      </c>
      <c r="U12" s="1292">
        <v>88</v>
      </c>
      <c r="V12" s="1302" t="s">
        <v>227</v>
      </c>
      <c r="W12" s="118">
        <v>295972</v>
      </c>
      <c r="X12" s="118">
        <v>294321</v>
      </c>
      <c r="Y12" s="118">
        <v>132302</v>
      </c>
      <c r="Z12" s="118">
        <v>43426</v>
      </c>
      <c r="AA12" s="118">
        <v>313940</v>
      </c>
      <c r="AB12" s="118">
        <v>100625</v>
      </c>
      <c r="AC12" s="118">
        <v>2145</v>
      </c>
      <c r="AD12" s="118">
        <v>12718</v>
      </c>
      <c r="AE12" s="118">
        <v>36</v>
      </c>
      <c r="AF12" s="118">
        <v>0</v>
      </c>
      <c r="AG12" s="118">
        <v>0</v>
      </c>
      <c r="AH12" s="118">
        <v>0</v>
      </c>
      <c r="AI12" s="118">
        <v>70</v>
      </c>
      <c r="AJ12" s="118">
        <v>21944</v>
      </c>
      <c r="AK12" s="118">
        <v>285</v>
      </c>
      <c r="AL12" s="118">
        <v>590292</v>
      </c>
      <c r="AM12" s="1279"/>
      <c r="AN12" s="1280"/>
      <c r="AO12" s="1292" t="s">
        <v>1312</v>
      </c>
    </row>
    <row r="13" spans="1:59" s="169" customFormat="1" ht="31.5" customHeight="1" x14ac:dyDescent="0.25">
      <c r="A13" s="34"/>
      <c r="B13" s="35"/>
      <c r="C13" s="1359"/>
      <c r="D13" s="1489">
        <v>13</v>
      </c>
      <c r="E13" s="211" t="s">
        <v>1313</v>
      </c>
      <c r="F13" s="1490"/>
      <c r="G13" s="209"/>
      <c r="H13" s="209"/>
      <c r="I13" s="210"/>
      <c r="J13" s="210"/>
      <c r="K13" s="211"/>
      <c r="L13" s="1499"/>
      <c r="M13" s="1490"/>
      <c r="N13" s="210"/>
      <c r="O13" s="296"/>
      <c r="P13" s="1500"/>
      <c r="Q13" s="261"/>
      <c r="R13" s="261"/>
      <c r="S13" s="210"/>
      <c r="T13" s="1500"/>
      <c r="U13" s="1493"/>
      <c r="V13" s="1491"/>
      <c r="W13" s="262"/>
      <c r="X13" s="262"/>
      <c r="Y13" s="262"/>
      <c r="Z13" s="262"/>
      <c r="AA13" s="262"/>
      <c r="AB13" s="262"/>
      <c r="AC13" s="262"/>
      <c r="AD13" s="262"/>
      <c r="AE13" s="262"/>
      <c r="AF13" s="262"/>
      <c r="AG13" s="262"/>
      <c r="AH13" s="262"/>
      <c r="AI13" s="262"/>
      <c r="AJ13" s="262"/>
      <c r="AK13" s="262"/>
      <c r="AL13" s="262"/>
      <c r="AM13" s="269"/>
      <c r="AN13" s="269"/>
      <c r="AO13" s="1501"/>
    </row>
    <row r="14" spans="1:59" ht="183.75" customHeight="1" x14ac:dyDescent="0.25">
      <c r="A14" s="1502"/>
      <c r="C14" s="1503"/>
      <c r="D14" s="1504"/>
      <c r="E14" s="1505"/>
      <c r="F14" s="429"/>
      <c r="G14" s="1285" t="s">
        <v>52</v>
      </c>
      <c r="H14" s="1285">
        <v>13.11</v>
      </c>
      <c r="I14" s="1495" t="s">
        <v>1314</v>
      </c>
      <c r="J14" s="1305" t="s">
        <v>1315</v>
      </c>
      <c r="K14" s="1506">
        <v>2</v>
      </c>
      <c r="L14" s="1303" t="s">
        <v>1316</v>
      </c>
      <c r="M14" s="1284" t="s">
        <v>1317</v>
      </c>
      <c r="N14" s="1286" t="s">
        <v>1318</v>
      </c>
      <c r="O14" s="1339">
        <f>+T14/P14</f>
        <v>1</v>
      </c>
      <c r="P14" s="1497">
        <f>SUM(T14)</f>
        <v>60746979</v>
      </c>
      <c r="Q14" s="1286" t="s">
        <v>1319</v>
      </c>
      <c r="R14" s="1286" t="s">
        <v>1320</v>
      </c>
      <c r="S14" s="1495" t="s">
        <v>1314</v>
      </c>
      <c r="T14" s="1498">
        <v>60746979</v>
      </c>
      <c r="U14" s="1411">
        <v>88</v>
      </c>
      <c r="V14" s="1662" t="s">
        <v>227</v>
      </c>
      <c r="W14" s="118">
        <v>295972</v>
      </c>
      <c r="X14" s="118">
        <v>294321</v>
      </c>
      <c r="Y14" s="118">
        <v>132302</v>
      </c>
      <c r="Z14" s="118">
        <v>43426</v>
      </c>
      <c r="AA14" s="118">
        <v>313940</v>
      </c>
      <c r="AB14" s="118">
        <v>100625</v>
      </c>
      <c r="AC14" s="118">
        <v>2145</v>
      </c>
      <c r="AD14" s="118">
        <v>12718</v>
      </c>
      <c r="AE14" s="118">
        <v>36</v>
      </c>
      <c r="AF14" s="118">
        <v>0</v>
      </c>
      <c r="AG14" s="118">
        <v>0</v>
      </c>
      <c r="AH14" s="118">
        <v>0</v>
      </c>
      <c r="AI14" s="118">
        <v>70</v>
      </c>
      <c r="AJ14" s="118">
        <v>21944</v>
      </c>
      <c r="AK14" s="118">
        <v>285</v>
      </c>
      <c r="AL14" s="118">
        <v>590292</v>
      </c>
      <c r="AM14" s="1279"/>
      <c r="AN14" s="1280"/>
      <c r="AO14" s="1292" t="s">
        <v>1312</v>
      </c>
    </row>
    <row r="15" spans="1:59" s="169" customFormat="1" ht="41.25" customHeight="1" x14ac:dyDescent="0.25">
      <c r="A15" s="34"/>
      <c r="B15" s="35"/>
      <c r="C15" s="1359"/>
      <c r="D15" s="1489">
        <v>15</v>
      </c>
      <c r="E15" s="211" t="s">
        <v>578</v>
      </c>
      <c r="F15" s="1490"/>
      <c r="G15" s="209"/>
      <c r="H15" s="209"/>
      <c r="I15" s="210"/>
      <c r="J15" s="210"/>
      <c r="K15" s="211"/>
      <c r="L15" s="1491"/>
      <c r="M15" s="1490"/>
      <c r="N15" s="210"/>
      <c r="O15" s="296"/>
      <c r="P15" s="1500"/>
      <c r="Q15" s="261"/>
      <c r="R15" s="261"/>
      <c r="S15" s="210"/>
      <c r="T15" s="1500"/>
      <c r="U15" s="1493"/>
      <c r="V15" s="1491"/>
      <c r="W15" s="262"/>
      <c r="X15" s="262"/>
      <c r="Y15" s="262"/>
      <c r="Z15" s="262"/>
      <c r="AA15" s="262"/>
      <c r="AB15" s="262"/>
      <c r="AC15" s="262"/>
      <c r="AD15" s="262"/>
      <c r="AE15" s="262"/>
      <c r="AF15" s="262"/>
      <c r="AG15" s="262"/>
      <c r="AH15" s="262"/>
      <c r="AI15" s="262"/>
      <c r="AJ15" s="262"/>
      <c r="AK15" s="262"/>
      <c r="AL15" s="262"/>
      <c r="AM15" s="269"/>
      <c r="AN15" s="269"/>
      <c r="AO15" s="75"/>
    </row>
    <row r="16" spans="1:59" ht="106.5" customHeight="1" x14ac:dyDescent="0.25">
      <c r="A16" s="1167"/>
      <c r="B16" s="1307"/>
      <c r="C16" s="1507"/>
      <c r="D16" s="2458"/>
      <c r="E16" s="2461"/>
      <c r="F16" s="2462"/>
      <c r="G16" s="2206" t="s">
        <v>52</v>
      </c>
      <c r="H16" s="2206" t="s">
        <v>1321</v>
      </c>
      <c r="I16" s="2247" t="s">
        <v>1322</v>
      </c>
      <c r="J16" s="2267" t="s">
        <v>580</v>
      </c>
      <c r="K16" s="2473">
        <v>9</v>
      </c>
      <c r="L16" s="2323" t="s">
        <v>1323</v>
      </c>
      <c r="M16" s="2206" t="s">
        <v>1324</v>
      </c>
      <c r="N16" s="2247" t="s">
        <v>1325</v>
      </c>
      <c r="O16" s="2265">
        <f>P16/SUM(P16,P33,P37,P51,P92,P107,P110)</f>
        <v>0.32295647257631482</v>
      </c>
      <c r="P16" s="2485">
        <f>SUM(T16:T31)</f>
        <v>628874337</v>
      </c>
      <c r="Q16" s="2267" t="s">
        <v>1326</v>
      </c>
      <c r="R16" s="2267" t="s">
        <v>1327</v>
      </c>
      <c r="S16" s="1331" t="s">
        <v>1328</v>
      </c>
      <c r="T16" s="1508">
        <v>15000000</v>
      </c>
      <c r="U16" s="61">
        <v>82</v>
      </c>
      <c r="V16" s="1310" t="s">
        <v>1711</v>
      </c>
      <c r="W16" s="2472">
        <v>295972</v>
      </c>
      <c r="X16" s="2472">
        <v>285580</v>
      </c>
      <c r="Y16" s="2472">
        <v>135545</v>
      </c>
      <c r="Z16" s="2472">
        <v>44254</v>
      </c>
      <c r="AA16" s="2472">
        <v>309146</v>
      </c>
      <c r="AB16" s="2472">
        <v>92607</v>
      </c>
      <c r="AC16" s="2472">
        <v>2145</v>
      </c>
      <c r="AD16" s="2472">
        <v>12718</v>
      </c>
      <c r="AE16" s="2472">
        <v>26</v>
      </c>
      <c r="AF16" s="2472">
        <v>37</v>
      </c>
      <c r="AG16" s="2472">
        <v>0</v>
      </c>
      <c r="AH16" s="2472">
        <v>0</v>
      </c>
      <c r="AI16" s="2472">
        <v>44350</v>
      </c>
      <c r="AJ16" s="2472">
        <v>21944</v>
      </c>
      <c r="AK16" s="2472">
        <v>75687</v>
      </c>
      <c r="AL16" s="2472">
        <f>+W16+X16</f>
        <v>581552</v>
      </c>
      <c r="AM16" s="2216">
        <v>43853</v>
      </c>
      <c r="AN16" s="2216">
        <v>44195</v>
      </c>
      <c r="AO16" s="2271" t="s">
        <v>1312</v>
      </c>
    </row>
    <row r="17" spans="1:41" ht="69.599999999999994" customHeight="1" x14ac:dyDescent="0.25">
      <c r="A17" s="1167"/>
      <c r="B17" s="1307"/>
      <c r="C17" s="1507"/>
      <c r="D17" s="2459"/>
      <c r="E17" s="2463"/>
      <c r="F17" s="2464"/>
      <c r="G17" s="2206"/>
      <c r="H17" s="2206"/>
      <c r="I17" s="2247"/>
      <c r="J17" s="2267"/>
      <c r="K17" s="2473"/>
      <c r="L17" s="2323"/>
      <c r="M17" s="2206"/>
      <c r="N17" s="2247"/>
      <c r="O17" s="2265"/>
      <c r="P17" s="2485"/>
      <c r="Q17" s="2267"/>
      <c r="R17" s="2267"/>
      <c r="S17" s="1331" t="s">
        <v>1329</v>
      </c>
      <c r="T17" s="1508">
        <v>21857448.609999999</v>
      </c>
      <c r="U17" s="61">
        <v>82</v>
      </c>
      <c r="V17" s="1685" t="s">
        <v>1711</v>
      </c>
      <c r="W17" s="2472"/>
      <c r="X17" s="2472"/>
      <c r="Y17" s="2472"/>
      <c r="Z17" s="2472"/>
      <c r="AA17" s="2472"/>
      <c r="AB17" s="2472"/>
      <c r="AC17" s="2472"/>
      <c r="AD17" s="2472"/>
      <c r="AE17" s="2472"/>
      <c r="AF17" s="2472"/>
      <c r="AG17" s="2472"/>
      <c r="AH17" s="2472"/>
      <c r="AI17" s="2472"/>
      <c r="AJ17" s="2472"/>
      <c r="AK17" s="2472"/>
      <c r="AL17" s="2472"/>
      <c r="AM17" s="2217"/>
      <c r="AN17" s="2217"/>
      <c r="AO17" s="2272"/>
    </row>
    <row r="18" spans="1:41" ht="81" customHeight="1" x14ac:dyDescent="0.25">
      <c r="A18" s="1167"/>
      <c r="B18" s="1307"/>
      <c r="C18" s="1507"/>
      <c r="D18" s="2459"/>
      <c r="E18" s="2463"/>
      <c r="F18" s="2464"/>
      <c r="G18" s="2206"/>
      <c r="H18" s="2206"/>
      <c r="I18" s="2247"/>
      <c r="J18" s="2267"/>
      <c r="K18" s="2473"/>
      <c r="L18" s="2323"/>
      <c r="M18" s="2206"/>
      <c r="N18" s="2247"/>
      <c r="O18" s="2265"/>
      <c r="P18" s="2485"/>
      <c r="Q18" s="2267"/>
      <c r="R18" s="2267"/>
      <c r="S18" s="1331" t="s">
        <v>1330</v>
      </c>
      <c r="T18" s="1508">
        <v>53729000</v>
      </c>
      <c r="U18" s="1257" t="s">
        <v>1176</v>
      </c>
      <c r="V18" s="1310" t="s">
        <v>1709</v>
      </c>
      <c r="W18" s="2472"/>
      <c r="X18" s="2472"/>
      <c r="Y18" s="2472"/>
      <c r="Z18" s="2472"/>
      <c r="AA18" s="2472"/>
      <c r="AB18" s="2472"/>
      <c r="AC18" s="2472"/>
      <c r="AD18" s="2472"/>
      <c r="AE18" s="2472"/>
      <c r="AF18" s="2472"/>
      <c r="AG18" s="2472"/>
      <c r="AH18" s="2472"/>
      <c r="AI18" s="2472"/>
      <c r="AJ18" s="2472"/>
      <c r="AK18" s="2472"/>
      <c r="AL18" s="2472"/>
      <c r="AM18" s="2217"/>
      <c r="AN18" s="2217"/>
      <c r="AO18" s="2272"/>
    </row>
    <row r="19" spans="1:41" ht="127.15" customHeight="1" x14ac:dyDescent="0.25">
      <c r="A19" s="1167"/>
      <c r="B19" s="1307"/>
      <c r="C19" s="1507"/>
      <c r="D19" s="2459"/>
      <c r="E19" s="2463"/>
      <c r="F19" s="2464"/>
      <c r="G19" s="2206"/>
      <c r="H19" s="2206"/>
      <c r="I19" s="2247"/>
      <c r="J19" s="2267"/>
      <c r="K19" s="2473"/>
      <c r="L19" s="2323"/>
      <c r="M19" s="2206"/>
      <c r="N19" s="2247"/>
      <c r="O19" s="2265"/>
      <c r="P19" s="2485"/>
      <c r="Q19" s="2267"/>
      <c r="R19" s="2267"/>
      <c r="S19" s="1331" t="s">
        <v>1331</v>
      </c>
      <c r="T19" s="1508">
        <v>47918000</v>
      </c>
      <c r="U19" s="61">
        <v>82</v>
      </c>
      <c r="V19" s="1685" t="s">
        <v>1711</v>
      </c>
      <c r="W19" s="2472"/>
      <c r="X19" s="2472"/>
      <c r="Y19" s="2472"/>
      <c r="Z19" s="2472"/>
      <c r="AA19" s="2472"/>
      <c r="AB19" s="2472"/>
      <c r="AC19" s="2472"/>
      <c r="AD19" s="2472"/>
      <c r="AE19" s="2472"/>
      <c r="AF19" s="2472"/>
      <c r="AG19" s="2472"/>
      <c r="AH19" s="2472"/>
      <c r="AI19" s="2472"/>
      <c r="AJ19" s="2472"/>
      <c r="AK19" s="2472"/>
      <c r="AL19" s="2472"/>
      <c r="AM19" s="2217"/>
      <c r="AN19" s="2217"/>
      <c r="AO19" s="2272"/>
    </row>
    <row r="20" spans="1:41" ht="87" customHeight="1" x14ac:dyDescent="0.25">
      <c r="A20" s="1167"/>
      <c r="B20" s="1307"/>
      <c r="C20" s="1507"/>
      <c r="D20" s="2459"/>
      <c r="E20" s="2463"/>
      <c r="F20" s="2464"/>
      <c r="G20" s="2206"/>
      <c r="H20" s="2206"/>
      <c r="I20" s="2247"/>
      <c r="J20" s="2267"/>
      <c r="K20" s="2473"/>
      <c r="L20" s="2323"/>
      <c r="M20" s="2206"/>
      <c r="N20" s="2247"/>
      <c r="O20" s="2265"/>
      <c r="P20" s="2485"/>
      <c r="Q20" s="2267"/>
      <c r="R20" s="2267"/>
      <c r="S20" s="1331" t="s">
        <v>1332</v>
      </c>
      <c r="T20" s="1508">
        <v>0</v>
      </c>
      <c r="U20" s="1509"/>
      <c r="V20" s="1510"/>
      <c r="W20" s="2472"/>
      <c r="X20" s="2472"/>
      <c r="Y20" s="2472"/>
      <c r="Z20" s="2472"/>
      <c r="AA20" s="2472"/>
      <c r="AB20" s="2472"/>
      <c r="AC20" s="2472"/>
      <c r="AD20" s="2472"/>
      <c r="AE20" s="2472"/>
      <c r="AF20" s="2472"/>
      <c r="AG20" s="2472"/>
      <c r="AH20" s="2472"/>
      <c r="AI20" s="2472"/>
      <c r="AJ20" s="2472"/>
      <c r="AK20" s="2472"/>
      <c r="AL20" s="2472"/>
      <c r="AM20" s="2217"/>
      <c r="AN20" s="2217"/>
      <c r="AO20" s="2272"/>
    </row>
    <row r="21" spans="1:41" ht="82.15" customHeight="1" x14ac:dyDescent="0.25">
      <c r="A21" s="1167"/>
      <c r="B21" s="1307"/>
      <c r="C21" s="1507"/>
      <c r="D21" s="2459"/>
      <c r="E21" s="2463"/>
      <c r="F21" s="2464"/>
      <c r="G21" s="2206"/>
      <c r="H21" s="2206"/>
      <c r="I21" s="2247"/>
      <c r="J21" s="2267"/>
      <c r="K21" s="2473"/>
      <c r="L21" s="2323"/>
      <c r="M21" s="2206"/>
      <c r="N21" s="2247"/>
      <c r="O21" s="2265"/>
      <c r="P21" s="2485"/>
      <c r="Q21" s="2267"/>
      <c r="R21" s="2267"/>
      <c r="S21" s="302" t="s">
        <v>1333</v>
      </c>
      <c r="T21" s="1508">
        <v>10666000</v>
      </c>
      <c r="U21" s="1257" t="s">
        <v>1176</v>
      </c>
      <c r="V21" s="1685" t="s">
        <v>1709</v>
      </c>
      <c r="W21" s="2472"/>
      <c r="X21" s="2472"/>
      <c r="Y21" s="2472"/>
      <c r="Z21" s="2472"/>
      <c r="AA21" s="2472"/>
      <c r="AB21" s="2472"/>
      <c r="AC21" s="2472"/>
      <c r="AD21" s="2472"/>
      <c r="AE21" s="2472"/>
      <c r="AF21" s="2472"/>
      <c r="AG21" s="2472"/>
      <c r="AH21" s="2472"/>
      <c r="AI21" s="2472"/>
      <c r="AJ21" s="2472"/>
      <c r="AK21" s="2472"/>
      <c r="AL21" s="2472"/>
      <c r="AM21" s="2217"/>
      <c r="AN21" s="2217"/>
      <c r="AO21" s="2272"/>
    </row>
    <row r="22" spans="1:41" ht="104.45" customHeight="1" x14ac:dyDescent="0.25">
      <c r="A22" s="1167"/>
      <c r="B22" s="1307"/>
      <c r="C22" s="1507"/>
      <c r="D22" s="2459"/>
      <c r="E22" s="2463"/>
      <c r="F22" s="2464"/>
      <c r="G22" s="2206"/>
      <c r="H22" s="2206"/>
      <c r="I22" s="2247"/>
      <c r="J22" s="2267"/>
      <c r="K22" s="2473"/>
      <c r="L22" s="2323"/>
      <c r="M22" s="2206"/>
      <c r="N22" s="2247"/>
      <c r="O22" s="2265"/>
      <c r="P22" s="2485"/>
      <c r="Q22" s="2267"/>
      <c r="R22" s="2267"/>
      <c r="S22" s="1331" t="s">
        <v>1334</v>
      </c>
      <c r="T22" s="1508">
        <v>21976000</v>
      </c>
      <c r="U22" s="61">
        <v>82</v>
      </c>
      <c r="V22" s="1685" t="s">
        <v>1711</v>
      </c>
      <c r="W22" s="2472"/>
      <c r="X22" s="2472"/>
      <c r="Y22" s="2472"/>
      <c r="Z22" s="2472"/>
      <c r="AA22" s="2472"/>
      <c r="AB22" s="2472"/>
      <c r="AC22" s="2472"/>
      <c r="AD22" s="2472"/>
      <c r="AE22" s="2472"/>
      <c r="AF22" s="2472"/>
      <c r="AG22" s="2472"/>
      <c r="AH22" s="2472"/>
      <c r="AI22" s="2472"/>
      <c r="AJ22" s="2472"/>
      <c r="AK22" s="2472"/>
      <c r="AL22" s="2472"/>
      <c r="AM22" s="2217"/>
      <c r="AN22" s="2217"/>
      <c r="AO22" s="2272"/>
    </row>
    <row r="23" spans="1:41" ht="56.25" customHeight="1" x14ac:dyDescent="0.25">
      <c r="A23" s="1167"/>
      <c r="B23" s="1307"/>
      <c r="C23" s="1507"/>
      <c r="D23" s="2459"/>
      <c r="E23" s="2463"/>
      <c r="F23" s="2464"/>
      <c r="G23" s="2206"/>
      <c r="H23" s="2206"/>
      <c r="I23" s="2247"/>
      <c r="J23" s="2267"/>
      <c r="K23" s="2473"/>
      <c r="L23" s="2323"/>
      <c r="M23" s="2206"/>
      <c r="N23" s="2247"/>
      <c r="O23" s="2265"/>
      <c r="P23" s="2485"/>
      <c r="Q23" s="2267"/>
      <c r="R23" s="2267"/>
      <c r="S23" s="1331" t="s">
        <v>1335</v>
      </c>
      <c r="T23" s="1508">
        <v>65133333</v>
      </c>
      <c r="U23" s="1257" t="s">
        <v>1176</v>
      </c>
      <c r="V23" s="1685" t="s">
        <v>1709</v>
      </c>
      <c r="W23" s="2472"/>
      <c r="X23" s="2472"/>
      <c r="Y23" s="2472"/>
      <c r="Z23" s="2472"/>
      <c r="AA23" s="2472"/>
      <c r="AB23" s="2472"/>
      <c r="AC23" s="2472"/>
      <c r="AD23" s="2472"/>
      <c r="AE23" s="2472"/>
      <c r="AF23" s="2472"/>
      <c r="AG23" s="2472"/>
      <c r="AH23" s="2472"/>
      <c r="AI23" s="2472"/>
      <c r="AJ23" s="2472"/>
      <c r="AK23" s="2472"/>
      <c r="AL23" s="2472"/>
      <c r="AM23" s="2217"/>
      <c r="AN23" s="2217"/>
      <c r="AO23" s="2272"/>
    </row>
    <row r="24" spans="1:41" ht="63.75" customHeight="1" x14ac:dyDescent="0.25">
      <c r="A24" s="1167"/>
      <c r="B24" s="1307"/>
      <c r="C24" s="1507"/>
      <c r="D24" s="2459"/>
      <c r="E24" s="2463"/>
      <c r="F24" s="2464"/>
      <c r="G24" s="2206"/>
      <c r="H24" s="2206"/>
      <c r="I24" s="2247"/>
      <c r="J24" s="2267"/>
      <c r="K24" s="2473"/>
      <c r="L24" s="2323"/>
      <c r="M24" s="2206"/>
      <c r="N24" s="2247"/>
      <c r="O24" s="2265"/>
      <c r="P24" s="2485"/>
      <c r="Q24" s="2267"/>
      <c r="R24" s="2267"/>
      <c r="S24" s="1331" t="s">
        <v>1336</v>
      </c>
      <c r="T24" s="1508">
        <v>50486400</v>
      </c>
      <c r="U24" s="1511">
        <v>82</v>
      </c>
      <c r="V24" s="1685" t="s">
        <v>1711</v>
      </c>
      <c r="W24" s="2472"/>
      <c r="X24" s="2472"/>
      <c r="Y24" s="2472"/>
      <c r="Z24" s="2472"/>
      <c r="AA24" s="2472"/>
      <c r="AB24" s="2472"/>
      <c r="AC24" s="2472"/>
      <c r="AD24" s="2472"/>
      <c r="AE24" s="2472"/>
      <c r="AF24" s="2472"/>
      <c r="AG24" s="2472"/>
      <c r="AH24" s="2472"/>
      <c r="AI24" s="2472"/>
      <c r="AJ24" s="2472"/>
      <c r="AK24" s="2472"/>
      <c r="AL24" s="2472"/>
      <c r="AM24" s="2217"/>
      <c r="AN24" s="2217"/>
      <c r="AO24" s="2272"/>
    </row>
    <row r="25" spans="1:41" ht="64.5" customHeight="1" x14ac:dyDescent="0.25">
      <c r="A25" s="1167"/>
      <c r="B25" s="1307"/>
      <c r="C25" s="1507"/>
      <c r="D25" s="2459"/>
      <c r="E25" s="2463"/>
      <c r="F25" s="2464"/>
      <c r="G25" s="2206"/>
      <c r="H25" s="2206"/>
      <c r="I25" s="2247"/>
      <c r="J25" s="2267"/>
      <c r="K25" s="2473"/>
      <c r="L25" s="2323"/>
      <c r="M25" s="2206"/>
      <c r="N25" s="2247"/>
      <c r="O25" s="2265"/>
      <c r="P25" s="2485"/>
      <c r="Q25" s="2267"/>
      <c r="R25" s="2267"/>
      <c r="S25" s="1331" t="s">
        <v>1337</v>
      </c>
      <c r="T25" s="1508">
        <v>25560000</v>
      </c>
      <c r="U25" s="1257" t="s">
        <v>1176</v>
      </c>
      <c r="V25" s="1685" t="s">
        <v>1709</v>
      </c>
      <c r="W25" s="2472"/>
      <c r="X25" s="2472"/>
      <c r="Y25" s="2472"/>
      <c r="Z25" s="2472"/>
      <c r="AA25" s="2472"/>
      <c r="AB25" s="2472"/>
      <c r="AC25" s="2472"/>
      <c r="AD25" s="2472"/>
      <c r="AE25" s="2472"/>
      <c r="AF25" s="2472"/>
      <c r="AG25" s="2472"/>
      <c r="AH25" s="2472"/>
      <c r="AI25" s="2472"/>
      <c r="AJ25" s="2472"/>
      <c r="AK25" s="2472"/>
      <c r="AL25" s="2472"/>
      <c r="AM25" s="2217"/>
      <c r="AN25" s="2217"/>
      <c r="AO25" s="2272"/>
    </row>
    <row r="26" spans="1:41" ht="84.6" customHeight="1" x14ac:dyDescent="0.25">
      <c r="A26" s="1167"/>
      <c r="B26" s="1307"/>
      <c r="C26" s="1507"/>
      <c r="D26" s="2459"/>
      <c r="E26" s="2463"/>
      <c r="F26" s="2464"/>
      <c r="G26" s="2206"/>
      <c r="H26" s="2206"/>
      <c r="I26" s="2247"/>
      <c r="J26" s="2267"/>
      <c r="K26" s="2473"/>
      <c r="L26" s="2323"/>
      <c r="M26" s="2206"/>
      <c r="N26" s="2247"/>
      <c r="O26" s="2265"/>
      <c r="P26" s="2485"/>
      <c r="Q26" s="2267"/>
      <c r="R26" s="2267"/>
      <c r="S26" s="1331" t="s">
        <v>1338</v>
      </c>
      <c r="T26" s="1512">
        <f>32887500</f>
        <v>32887500</v>
      </c>
      <c r="U26" s="61">
        <v>82</v>
      </c>
      <c r="V26" s="1685" t="s">
        <v>1711</v>
      </c>
      <c r="W26" s="2472"/>
      <c r="X26" s="2472"/>
      <c r="Y26" s="2472"/>
      <c r="Z26" s="2472"/>
      <c r="AA26" s="2472"/>
      <c r="AB26" s="2472"/>
      <c r="AC26" s="2472"/>
      <c r="AD26" s="2472"/>
      <c r="AE26" s="2472"/>
      <c r="AF26" s="2472"/>
      <c r="AG26" s="2472"/>
      <c r="AH26" s="2472"/>
      <c r="AI26" s="2472"/>
      <c r="AJ26" s="2472"/>
      <c r="AK26" s="2472"/>
      <c r="AL26" s="2472"/>
      <c r="AM26" s="2217"/>
      <c r="AN26" s="2217"/>
      <c r="AO26" s="2272"/>
    </row>
    <row r="27" spans="1:41" ht="115.5" customHeight="1" x14ac:dyDescent="0.25">
      <c r="A27" s="1167"/>
      <c r="B27" s="1307"/>
      <c r="C27" s="1507"/>
      <c r="D27" s="2459"/>
      <c r="E27" s="2463"/>
      <c r="F27" s="2464"/>
      <c r="G27" s="2206"/>
      <c r="H27" s="2206"/>
      <c r="I27" s="2247"/>
      <c r="J27" s="2267"/>
      <c r="K27" s="2473"/>
      <c r="L27" s="2323"/>
      <c r="M27" s="2206"/>
      <c r="N27" s="2247"/>
      <c r="O27" s="2265"/>
      <c r="P27" s="2485"/>
      <c r="Q27" s="2267"/>
      <c r="R27" s="2267"/>
      <c r="S27" s="1331" t="s">
        <v>1339</v>
      </c>
      <c r="T27" s="1508">
        <v>18070000</v>
      </c>
      <c r="U27" s="61">
        <v>82</v>
      </c>
      <c r="V27" s="1685" t="s">
        <v>1711</v>
      </c>
      <c r="W27" s="2472"/>
      <c r="X27" s="2472"/>
      <c r="Y27" s="2472"/>
      <c r="Z27" s="2472"/>
      <c r="AA27" s="2472"/>
      <c r="AB27" s="2472"/>
      <c r="AC27" s="2472"/>
      <c r="AD27" s="2472"/>
      <c r="AE27" s="2472"/>
      <c r="AF27" s="2472"/>
      <c r="AG27" s="2472"/>
      <c r="AH27" s="2472"/>
      <c r="AI27" s="2472"/>
      <c r="AJ27" s="2472"/>
      <c r="AK27" s="2472"/>
      <c r="AL27" s="2472"/>
      <c r="AM27" s="2217"/>
      <c r="AN27" s="2217"/>
      <c r="AO27" s="2272"/>
    </row>
    <row r="28" spans="1:41" ht="55.15" customHeight="1" x14ac:dyDescent="0.25">
      <c r="A28" s="1167"/>
      <c r="B28" s="1307"/>
      <c r="C28" s="1507"/>
      <c r="D28" s="2459"/>
      <c r="E28" s="2463"/>
      <c r="F28" s="2464"/>
      <c r="G28" s="2206"/>
      <c r="H28" s="2206"/>
      <c r="I28" s="2247"/>
      <c r="J28" s="2267"/>
      <c r="K28" s="2473"/>
      <c r="L28" s="2323"/>
      <c r="M28" s="2206"/>
      <c r="N28" s="2247"/>
      <c r="O28" s="2265"/>
      <c r="P28" s="2485"/>
      <c r="Q28" s="2267"/>
      <c r="R28" s="2267"/>
      <c r="S28" s="1331" t="s">
        <v>1340</v>
      </c>
      <c r="T28" s="1508">
        <v>4800000</v>
      </c>
      <c r="U28" s="1257" t="s">
        <v>1176</v>
      </c>
      <c r="V28" s="1685" t="s">
        <v>1709</v>
      </c>
      <c r="W28" s="2472"/>
      <c r="X28" s="2472"/>
      <c r="Y28" s="2472"/>
      <c r="Z28" s="2472"/>
      <c r="AA28" s="2472"/>
      <c r="AB28" s="2472"/>
      <c r="AC28" s="2472"/>
      <c r="AD28" s="2472"/>
      <c r="AE28" s="2472"/>
      <c r="AF28" s="2472"/>
      <c r="AG28" s="2472"/>
      <c r="AH28" s="2472"/>
      <c r="AI28" s="2472"/>
      <c r="AJ28" s="2472"/>
      <c r="AK28" s="2472"/>
      <c r="AL28" s="2472"/>
      <c r="AM28" s="2217"/>
      <c r="AN28" s="2217"/>
      <c r="AO28" s="2272"/>
    </row>
    <row r="29" spans="1:41" ht="52.5" customHeight="1" x14ac:dyDescent="0.25">
      <c r="A29" s="1167"/>
      <c r="B29" s="1307"/>
      <c r="C29" s="1507"/>
      <c r="D29" s="2459"/>
      <c r="E29" s="2463"/>
      <c r="F29" s="2464"/>
      <c r="G29" s="2206"/>
      <c r="H29" s="2206"/>
      <c r="I29" s="2247"/>
      <c r="J29" s="2267"/>
      <c r="K29" s="2473"/>
      <c r="L29" s="2323"/>
      <c r="M29" s="2206"/>
      <c r="N29" s="2247"/>
      <c r="O29" s="2265"/>
      <c r="P29" s="2485"/>
      <c r="Q29" s="2267"/>
      <c r="R29" s="2267"/>
      <c r="S29" s="2474" t="s">
        <v>1341</v>
      </c>
      <c r="T29" s="1512">
        <v>252303448.61000001</v>
      </c>
      <c r="U29" s="1257" t="s">
        <v>1176</v>
      </c>
      <c r="V29" s="1685" t="s">
        <v>1709</v>
      </c>
      <c r="W29" s="2472"/>
      <c r="X29" s="2472"/>
      <c r="Y29" s="2472"/>
      <c r="Z29" s="2472"/>
      <c r="AA29" s="2472"/>
      <c r="AB29" s="2472"/>
      <c r="AC29" s="2472"/>
      <c r="AD29" s="2472"/>
      <c r="AE29" s="2472"/>
      <c r="AF29" s="2472"/>
      <c r="AG29" s="2472"/>
      <c r="AH29" s="2472"/>
      <c r="AI29" s="2472"/>
      <c r="AJ29" s="2472"/>
      <c r="AK29" s="2472"/>
      <c r="AL29" s="2472"/>
      <c r="AM29" s="2217"/>
      <c r="AN29" s="2217"/>
      <c r="AO29" s="2272"/>
    </row>
    <row r="30" spans="1:41" ht="63.75" customHeight="1" x14ac:dyDescent="0.25">
      <c r="A30" s="1167"/>
      <c r="B30" s="1307"/>
      <c r="C30" s="1507"/>
      <c r="D30" s="2459"/>
      <c r="E30" s="2463"/>
      <c r="F30" s="2464"/>
      <c r="G30" s="2206"/>
      <c r="H30" s="2206"/>
      <c r="I30" s="2247"/>
      <c r="J30" s="2267"/>
      <c r="K30" s="2473"/>
      <c r="L30" s="2323"/>
      <c r="M30" s="2206"/>
      <c r="N30" s="2247"/>
      <c r="O30" s="2265"/>
      <c r="P30" s="2485"/>
      <c r="Q30" s="2267"/>
      <c r="R30" s="2267"/>
      <c r="S30" s="2475"/>
      <c r="T30" s="1508">
        <v>8487206.7799999993</v>
      </c>
      <c r="U30" s="61">
        <v>82</v>
      </c>
      <c r="V30" s="1685" t="s">
        <v>1711</v>
      </c>
      <c r="W30" s="2472"/>
      <c r="X30" s="2472"/>
      <c r="Y30" s="2472"/>
      <c r="Z30" s="2472"/>
      <c r="AA30" s="2472"/>
      <c r="AB30" s="2472"/>
      <c r="AC30" s="2472"/>
      <c r="AD30" s="2472"/>
      <c r="AE30" s="2472"/>
      <c r="AF30" s="2472"/>
      <c r="AG30" s="2472"/>
      <c r="AH30" s="2472"/>
      <c r="AI30" s="2472"/>
      <c r="AJ30" s="2472"/>
      <c r="AK30" s="2472"/>
      <c r="AL30" s="2472"/>
      <c r="AM30" s="2217"/>
      <c r="AN30" s="2217"/>
      <c r="AO30" s="2272"/>
    </row>
    <row r="31" spans="1:41" ht="72" customHeight="1" x14ac:dyDescent="0.25">
      <c r="A31" s="1502"/>
      <c r="C31" s="1503"/>
      <c r="D31" s="2460"/>
      <c r="E31" s="2465"/>
      <c r="F31" s="2466"/>
      <c r="G31" s="2206"/>
      <c r="H31" s="2206"/>
      <c r="I31" s="2247"/>
      <c r="J31" s="2267"/>
      <c r="K31" s="2473"/>
      <c r="L31" s="2323"/>
      <c r="M31" s="2206"/>
      <c r="N31" s="2247"/>
      <c r="O31" s="2265"/>
      <c r="P31" s="2485"/>
      <c r="Q31" s="2267"/>
      <c r="R31" s="2267"/>
      <c r="S31" s="1331" t="s">
        <v>1342</v>
      </c>
      <c r="T31" s="1512">
        <v>0</v>
      </c>
      <c r="U31" s="61"/>
      <c r="V31" s="1336"/>
      <c r="W31" s="2472"/>
      <c r="X31" s="2472"/>
      <c r="Y31" s="2472"/>
      <c r="Z31" s="2472"/>
      <c r="AA31" s="2472"/>
      <c r="AB31" s="2472"/>
      <c r="AC31" s="2472"/>
      <c r="AD31" s="2472"/>
      <c r="AE31" s="2472"/>
      <c r="AF31" s="2472"/>
      <c r="AG31" s="2472"/>
      <c r="AH31" s="2472"/>
      <c r="AI31" s="2472"/>
      <c r="AJ31" s="2472"/>
      <c r="AK31" s="2472"/>
      <c r="AL31" s="2472"/>
      <c r="AM31" s="2292"/>
      <c r="AN31" s="2292"/>
      <c r="AO31" s="2273"/>
    </row>
    <row r="32" spans="1:41" s="169" customFormat="1" ht="27" customHeight="1" x14ac:dyDescent="0.25">
      <c r="A32" s="34"/>
      <c r="B32" s="35"/>
      <c r="C32" s="1359"/>
      <c r="D32" s="1489">
        <v>25</v>
      </c>
      <c r="E32" s="836" t="s">
        <v>662</v>
      </c>
      <c r="F32" s="1513"/>
      <c r="G32" s="835"/>
      <c r="H32" s="835"/>
      <c r="I32" s="208"/>
      <c r="J32" s="210"/>
      <c r="K32" s="211"/>
      <c r="L32" s="1491"/>
      <c r="M32" s="1490"/>
      <c r="N32" s="210"/>
      <c r="O32" s="215"/>
      <c r="P32" s="1514"/>
      <c r="Q32" s="303"/>
      <c r="R32" s="261"/>
      <c r="S32" s="208"/>
      <c r="T32" s="1514"/>
      <c r="U32" s="1515"/>
      <c r="V32" s="1516"/>
      <c r="W32" s="1164"/>
      <c r="X32" s="1164"/>
      <c r="Y32" s="1164"/>
      <c r="Z32" s="1164"/>
      <c r="AA32" s="1164"/>
      <c r="AB32" s="1164"/>
      <c r="AC32" s="1164"/>
      <c r="AD32" s="1164"/>
      <c r="AE32" s="1164"/>
      <c r="AF32" s="1164"/>
      <c r="AG32" s="1164"/>
      <c r="AH32" s="1164"/>
      <c r="AI32" s="1164"/>
      <c r="AJ32" s="1164"/>
      <c r="AK32" s="1164"/>
      <c r="AL32" s="1164"/>
      <c r="AM32" s="1165"/>
      <c r="AN32" s="1165"/>
      <c r="AO32" s="1517"/>
    </row>
    <row r="33" spans="1:41" ht="133.5" customHeight="1" x14ac:dyDescent="0.25">
      <c r="A33" s="1167"/>
      <c r="B33" s="1307"/>
      <c r="C33" s="1507"/>
      <c r="D33" s="2476"/>
      <c r="E33" s="2479"/>
      <c r="F33" s="2482"/>
      <c r="G33" s="2206" t="s">
        <v>1343</v>
      </c>
      <c r="H33" s="2206" t="s">
        <v>1344</v>
      </c>
      <c r="I33" s="2247" t="s">
        <v>1345</v>
      </c>
      <c r="J33" s="2486" t="s">
        <v>1346</v>
      </c>
      <c r="K33" s="2491">
        <v>1</v>
      </c>
      <c r="L33" s="2182" t="s">
        <v>1347</v>
      </c>
      <c r="M33" s="2190" t="s">
        <v>1324</v>
      </c>
      <c r="N33" s="2493" t="s">
        <v>1325</v>
      </c>
      <c r="O33" s="2265">
        <f>P33/SUM(P16,P33,P37,P51,P92,P107,P110)</f>
        <v>2.5677345502517688E-2</v>
      </c>
      <c r="P33" s="2485">
        <f>SUM(T33:T35)</f>
        <v>50000000</v>
      </c>
      <c r="Q33" s="2267" t="s">
        <v>1326</v>
      </c>
      <c r="R33" s="2486" t="s">
        <v>1327</v>
      </c>
      <c r="S33" s="1309" t="s">
        <v>1348</v>
      </c>
      <c r="T33" s="1518">
        <v>22400000</v>
      </c>
      <c r="U33" s="435">
        <v>20</v>
      </c>
      <c r="V33" s="1658" t="s">
        <v>108</v>
      </c>
      <c r="W33" s="2489">
        <v>295972</v>
      </c>
      <c r="X33" s="2489">
        <v>285580</v>
      </c>
      <c r="Y33" s="2489">
        <v>135545</v>
      </c>
      <c r="Z33" s="2489">
        <v>44254</v>
      </c>
      <c r="AA33" s="2489">
        <v>309146</v>
      </c>
      <c r="AB33" s="2489">
        <v>92607</v>
      </c>
      <c r="AC33" s="2489">
        <v>2145</v>
      </c>
      <c r="AD33" s="2489">
        <v>12718</v>
      </c>
      <c r="AE33" s="2500">
        <v>26</v>
      </c>
      <c r="AF33" s="2489">
        <v>37</v>
      </c>
      <c r="AG33" s="2489">
        <v>0</v>
      </c>
      <c r="AH33" s="2489">
        <v>0</v>
      </c>
      <c r="AI33" s="2489">
        <v>44350</v>
      </c>
      <c r="AJ33" s="2489">
        <v>21944</v>
      </c>
      <c r="AK33" s="2489">
        <v>75687</v>
      </c>
      <c r="AL33" s="2489">
        <f>+W33+X33</f>
        <v>581552</v>
      </c>
      <c r="AM33" s="2379">
        <v>44069</v>
      </c>
      <c r="AN33" s="2496">
        <v>44160</v>
      </c>
      <c r="AO33" s="2254" t="s">
        <v>1312</v>
      </c>
    </row>
    <row r="34" spans="1:41" ht="75.75" customHeight="1" x14ac:dyDescent="0.25">
      <c r="A34" s="1167"/>
      <c r="B34" s="1307"/>
      <c r="C34" s="1507"/>
      <c r="D34" s="2477"/>
      <c r="E34" s="2480"/>
      <c r="F34" s="2483"/>
      <c r="G34" s="2206"/>
      <c r="H34" s="2206"/>
      <c r="I34" s="2247"/>
      <c r="J34" s="2487"/>
      <c r="K34" s="2491"/>
      <c r="L34" s="2183"/>
      <c r="M34" s="2191"/>
      <c r="N34" s="2494"/>
      <c r="O34" s="2265"/>
      <c r="P34" s="2485"/>
      <c r="Q34" s="2267"/>
      <c r="R34" s="2487"/>
      <c r="S34" s="1313" t="s">
        <v>1336</v>
      </c>
      <c r="T34" s="1518">
        <v>12600000</v>
      </c>
      <c r="U34" s="435">
        <v>20</v>
      </c>
      <c r="V34" s="1658" t="s">
        <v>108</v>
      </c>
      <c r="W34" s="2489"/>
      <c r="X34" s="2489"/>
      <c r="Y34" s="2489"/>
      <c r="Z34" s="2489"/>
      <c r="AA34" s="2489"/>
      <c r="AB34" s="2489"/>
      <c r="AC34" s="2489"/>
      <c r="AD34" s="2489"/>
      <c r="AE34" s="2500"/>
      <c r="AF34" s="2489"/>
      <c r="AG34" s="2489"/>
      <c r="AH34" s="2489"/>
      <c r="AI34" s="2489"/>
      <c r="AJ34" s="2489"/>
      <c r="AK34" s="2489"/>
      <c r="AL34" s="2489"/>
      <c r="AM34" s="2379"/>
      <c r="AN34" s="2497"/>
      <c r="AO34" s="2254"/>
    </row>
    <row r="35" spans="1:41" ht="76.5" customHeight="1" x14ac:dyDescent="0.25">
      <c r="A35" s="1502"/>
      <c r="C35" s="1503"/>
      <c r="D35" s="2478"/>
      <c r="E35" s="2481"/>
      <c r="F35" s="2484"/>
      <c r="G35" s="2206"/>
      <c r="H35" s="2206"/>
      <c r="I35" s="2247"/>
      <c r="J35" s="2488"/>
      <c r="K35" s="2491"/>
      <c r="L35" s="2492"/>
      <c r="M35" s="2257"/>
      <c r="N35" s="2495"/>
      <c r="O35" s="2265"/>
      <c r="P35" s="2485"/>
      <c r="Q35" s="2267"/>
      <c r="R35" s="2488"/>
      <c r="S35" s="1331" t="s">
        <v>1349</v>
      </c>
      <c r="T35" s="1518">
        <v>15000000</v>
      </c>
      <c r="U35" s="1411">
        <v>88</v>
      </c>
      <c r="V35" s="1662" t="s">
        <v>227</v>
      </c>
      <c r="W35" s="2490"/>
      <c r="X35" s="2490"/>
      <c r="Y35" s="2490"/>
      <c r="Z35" s="2490"/>
      <c r="AA35" s="2490"/>
      <c r="AB35" s="2490"/>
      <c r="AC35" s="2490"/>
      <c r="AD35" s="2490"/>
      <c r="AE35" s="2501"/>
      <c r="AF35" s="2490"/>
      <c r="AG35" s="2490"/>
      <c r="AH35" s="2490"/>
      <c r="AI35" s="2490"/>
      <c r="AJ35" s="2490"/>
      <c r="AK35" s="2490"/>
      <c r="AL35" s="2490"/>
      <c r="AM35" s="2379"/>
      <c r="AN35" s="2498"/>
      <c r="AO35" s="2254"/>
    </row>
    <row r="36" spans="1:41" s="169" customFormat="1" ht="27" customHeight="1" x14ac:dyDescent="0.25">
      <c r="A36" s="34"/>
      <c r="B36" s="35"/>
      <c r="C36" s="1359"/>
      <c r="D36" s="1489">
        <v>39</v>
      </c>
      <c r="E36" s="268" t="s">
        <v>566</v>
      </c>
      <c r="F36" s="965"/>
      <c r="G36" s="1520"/>
      <c r="H36" s="1520"/>
      <c r="I36" s="260"/>
      <c r="J36" s="210"/>
      <c r="K36" s="211"/>
      <c r="L36" s="1491"/>
      <c r="M36" s="965"/>
      <c r="N36" s="260"/>
      <c r="O36" s="263"/>
      <c r="P36" s="1521"/>
      <c r="Q36" s="267"/>
      <c r="R36" s="261"/>
      <c r="S36" s="260"/>
      <c r="T36" s="1521"/>
      <c r="U36" s="1522"/>
      <c r="V36" s="1523"/>
      <c r="W36" s="389"/>
      <c r="X36" s="389"/>
      <c r="Y36" s="389"/>
      <c r="Z36" s="389"/>
      <c r="AA36" s="389"/>
      <c r="AB36" s="389"/>
      <c r="AC36" s="389"/>
      <c r="AD36" s="389"/>
      <c r="AE36" s="389"/>
      <c r="AF36" s="389"/>
      <c r="AG36" s="389"/>
      <c r="AH36" s="389"/>
      <c r="AI36" s="389"/>
      <c r="AJ36" s="389"/>
      <c r="AK36" s="389"/>
      <c r="AL36" s="389"/>
      <c r="AM36" s="1524"/>
      <c r="AN36" s="1524"/>
      <c r="AO36" s="1525"/>
    </row>
    <row r="37" spans="1:41" ht="70.150000000000006" customHeight="1" x14ac:dyDescent="0.25">
      <c r="A37" s="1167"/>
      <c r="B37" s="1307"/>
      <c r="C37" s="1507"/>
      <c r="D37" s="2458"/>
      <c r="E37" s="2461"/>
      <c r="F37" s="2462"/>
      <c r="G37" s="2206" t="s">
        <v>52</v>
      </c>
      <c r="H37" s="2206" t="s">
        <v>1350</v>
      </c>
      <c r="I37" s="2499" t="s">
        <v>1351</v>
      </c>
      <c r="J37" s="2267" t="s">
        <v>569</v>
      </c>
      <c r="K37" s="2473">
        <v>3</v>
      </c>
      <c r="L37" s="2212" t="s">
        <v>1352</v>
      </c>
      <c r="M37" s="2206" t="s">
        <v>1324</v>
      </c>
      <c r="N37" s="2247" t="s">
        <v>1325</v>
      </c>
      <c r="O37" s="2502">
        <f>P37/SUM(P16,P33,P37,P51,P92,P107,P110)</f>
        <v>0.50215160777148882</v>
      </c>
      <c r="P37" s="2512">
        <f>SUM(T37:T49)</f>
        <v>977810591.28999996</v>
      </c>
      <c r="Q37" s="2267" t="s">
        <v>1326</v>
      </c>
      <c r="R37" s="2267" t="s">
        <v>1327</v>
      </c>
      <c r="S37" s="1526" t="s">
        <v>1353</v>
      </c>
      <c r="T37" s="1527">
        <v>25000000</v>
      </c>
      <c r="U37" s="1257" t="s">
        <v>1176</v>
      </c>
      <c r="V37" s="1685" t="s">
        <v>1709</v>
      </c>
      <c r="W37" s="2472">
        <v>295972</v>
      </c>
      <c r="X37" s="2472">
        <v>285580</v>
      </c>
      <c r="Y37" s="2472">
        <v>135545</v>
      </c>
      <c r="Z37" s="2472">
        <v>44254</v>
      </c>
      <c r="AA37" s="2472">
        <v>309146</v>
      </c>
      <c r="AB37" s="2472">
        <v>92607</v>
      </c>
      <c r="AC37" s="2472">
        <v>2145</v>
      </c>
      <c r="AD37" s="2472">
        <v>12718</v>
      </c>
      <c r="AE37" s="2472">
        <v>26</v>
      </c>
      <c r="AF37" s="2472">
        <v>37</v>
      </c>
      <c r="AG37" s="2472">
        <v>0</v>
      </c>
      <c r="AH37" s="2472">
        <v>0</v>
      </c>
      <c r="AI37" s="2472">
        <v>44350</v>
      </c>
      <c r="AJ37" s="2509">
        <v>21944</v>
      </c>
      <c r="AK37" s="2472">
        <v>75687</v>
      </c>
      <c r="AL37" s="2472">
        <f>+W37+X37</f>
        <v>581552</v>
      </c>
      <c r="AM37" s="2505">
        <v>43857</v>
      </c>
      <c r="AN37" s="2506">
        <v>44196</v>
      </c>
      <c r="AO37" s="2366" t="s">
        <v>1312</v>
      </c>
    </row>
    <row r="38" spans="1:41" ht="78" customHeight="1" x14ac:dyDescent="0.25">
      <c r="A38" s="1167"/>
      <c r="B38" s="1307"/>
      <c r="C38" s="1507"/>
      <c r="D38" s="2459"/>
      <c r="E38" s="2463"/>
      <c r="F38" s="2464"/>
      <c r="G38" s="2206"/>
      <c r="H38" s="2206"/>
      <c r="I38" s="2499"/>
      <c r="J38" s="2267"/>
      <c r="K38" s="2473"/>
      <c r="L38" s="2212"/>
      <c r="M38" s="2206"/>
      <c r="N38" s="2247"/>
      <c r="O38" s="2503"/>
      <c r="P38" s="2512"/>
      <c r="Q38" s="2267"/>
      <c r="R38" s="2267"/>
      <c r="S38" s="1528" t="s">
        <v>1354</v>
      </c>
      <c r="T38" s="1527">
        <f>29725314.58+10274685</f>
        <v>39999999.579999998</v>
      </c>
      <c r="U38" s="1257" t="s">
        <v>1176</v>
      </c>
      <c r="V38" s="1685" t="s">
        <v>1709</v>
      </c>
      <c r="W38" s="2472"/>
      <c r="X38" s="2472"/>
      <c r="Y38" s="2472"/>
      <c r="Z38" s="2472"/>
      <c r="AA38" s="2472"/>
      <c r="AB38" s="2472"/>
      <c r="AC38" s="2472"/>
      <c r="AD38" s="2472"/>
      <c r="AE38" s="2472"/>
      <c r="AF38" s="2472"/>
      <c r="AG38" s="2472"/>
      <c r="AH38" s="2472"/>
      <c r="AI38" s="2472"/>
      <c r="AJ38" s="2510"/>
      <c r="AK38" s="2472"/>
      <c r="AL38" s="2472"/>
      <c r="AM38" s="2505"/>
      <c r="AN38" s="2507"/>
      <c r="AO38" s="2366"/>
    </row>
    <row r="39" spans="1:41" ht="88.15" customHeight="1" x14ac:dyDescent="0.25">
      <c r="A39" s="1167"/>
      <c r="B39" s="1307"/>
      <c r="C39" s="1507"/>
      <c r="D39" s="2459"/>
      <c r="E39" s="2463"/>
      <c r="F39" s="2464"/>
      <c r="G39" s="2206"/>
      <c r="H39" s="2206"/>
      <c r="I39" s="2499"/>
      <c r="J39" s="2267"/>
      <c r="K39" s="2473"/>
      <c r="L39" s="2212"/>
      <c r="M39" s="2206"/>
      <c r="N39" s="2247"/>
      <c r="O39" s="2503"/>
      <c r="P39" s="2512"/>
      <c r="Q39" s="2267"/>
      <c r="R39" s="2267"/>
      <c r="S39" s="1526" t="s">
        <v>1330</v>
      </c>
      <c r="T39" s="1527">
        <v>14417000</v>
      </c>
      <c r="U39" s="1257" t="s">
        <v>1176</v>
      </c>
      <c r="V39" s="1685" t="s">
        <v>1709</v>
      </c>
      <c r="W39" s="2472"/>
      <c r="X39" s="2472"/>
      <c r="Y39" s="2472"/>
      <c r="Z39" s="2472"/>
      <c r="AA39" s="2472"/>
      <c r="AB39" s="2472"/>
      <c r="AC39" s="2472"/>
      <c r="AD39" s="2472"/>
      <c r="AE39" s="2472"/>
      <c r="AF39" s="2472"/>
      <c r="AG39" s="2472"/>
      <c r="AH39" s="2472"/>
      <c r="AI39" s="2472"/>
      <c r="AJ39" s="2510"/>
      <c r="AK39" s="2472"/>
      <c r="AL39" s="2472"/>
      <c r="AM39" s="2505"/>
      <c r="AN39" s="2507"/>
      <c r="AO39" s="2366"/>
    </row>
    <row r="40" spans="1:41" ht="110.25" customHeight="1" x14ac:dyDescent="0.25">
      <c r="A40" s="1167"/>
      <c r="B40" s="1307"/>
      <c r="C40" s="1507"/>
      <c r="D40" s="2459"/>
      <c r="E40" s="2463"/>
      <c r="F40" s="2464"/>
      <c r="G40" s="2206"/>
      <c r="H40" s="2206"/>
      <c r="I40" s="2499"/>
      <c r="J40" s="2267"/>
      <c r="K40" s="2473"/>
      <c r="L40" s="2212"/>
      <c r="M40" s="2206"/>
      <c r="N40" s="2247"/>
      <c r="O40" s="2503"/>
      <c r="P40" s="2512"/>
      <c r="Q40" s="2267"/>
      <c r="R40" s="2267"/>
      <c r="S40" s="1526" t="s">
        <v>1355</v>
      </c>
      <c r="T40" s="1527">
        <v>72627000</v>
      </c>
      <c r="U40" s="1257" t="s">
        <v>1176</v>
      </c>
      <c r="V40" s="1685" t="s">
        <v>1709</v>
      </c>
      <c r="W40" s="2472"/>
      <c r="X40" s="2472"/>
      <c r="Y40" s="2472"/>
      <c r="Z40" s="2472"/>
      <c r="AA40" s="2472"/>
      <c r="AB40" s="2472"/>
      <c r="AC40" s="2472"/>
      <c r="AD40" s="2472"/>
      <c r="AE40" s="2472"/>
      <c r="AF40" s="2472"/>
      <c r="AG40" s="2472"/>
      <c r="AH40" s="2472"/>
      <c r="AI40" s="2472"/>
      <c r="AJ40" s="2510"/>
      <c r="AK40" s="2472"/>
      <c r="AL40" s="2472"/>
      <c r="AM40" s="2505"/>
      <c r="AN40" s="2507"/>
      <c r="AO40" s="2366"/>
    </row>
    <row r="41" spans="1:41" ht="76.900000000000006" customHeight="1" x14ac:dyDescent="0.25">
      <c r="A41" s="1167"/>
      <c r="B41" s="1307"/>
      <c r="C41" s="1507"/>
      <c r="D41" s="2459"/>
      <c r="E41" s="2463"/>
      <c r="F41" s="2464"/>
      <c r="G41" s="2206"/>
      <c r="H41" s="2206"/>
      <c r="I41" s="2499"/>
      <c r="J41" s="2267"/>
      <c r="K41" s="2473"/>
      <c r="L41" s="2212"/>
      <c r="M41" s="2206"/>
      <c r="N41" s="2247"/>
      <c r="O41" s="2503"/>
      <c r="P41" s="2512"/>
      <c r="Q41" s="2267"/>
      <c r="R41" s="2267"/>
      <c r="S41" s="1526" t="s">
        <v>1356</v>
      </c>
      <c r="T41" s="1527">
        <v>15600000</v>
      </c>
      <c r="U41" s="1257" t="s">
        <v>1176</v>
      </c>
      <c r="V41" s="1685" t="s">
        <v>1709</v>
      </c>
      <c r="W41" s="2472"/>
      <c r="X41" s="2472"/>
      <c r="Y41" s="2472"/>
      <c r="Z41" s="2472"/>
      <c r="AA41" s="2472"/>
      <c r="AB41" s="2472"/>
      <c r="AC41" s="2472"/>
      <c r="AD41" s="2472"/>
      <c r="AE41" s="2472"/>
      <c r="AF41" s="2472"/>
      <c r="AG41" s="2472"/>
      <c r="AH41" s="2472"/>
      <c r="AI41" s="2472"/>
      <c r="AJ41" s="2510"/>
      <c r="AK41" s="2472"/>
      <c r="AL41" s="2472"/>
      <c r="AM41" s="2505"/>
      <c r="AN41" s="2507"/>
      <c r="AO41" s="2366"/>
    </row>
    <row r="42" spans="1:41" ht="84" customHeight="1" x14ac:dyDescent="0.25">
      <c r="A42" s="1167"/>
      <c r="B42" s="1307"/>
      <c r="C42" s="1507"/>
      <c r="D42" s="2459"/>
      <c r="E42" s="2463"/>
      <c r="F42" s="2464"/>
      <c r="G42" s="2206"/>
      <c r="H42" s="2206"/>
      <c r="I42" s="2499"/>
      <c r="J42" s="2267"/>
      <c r="K42" s="2473"/>
      <c r="L42" s="2212"/>
      <c r="M42" s="2206"/>
      <c r="N42" s="2247"/>
      <c r="O42" s="2503"/>
      <c r="P42" s="2512"/>
      <c r="Q42" s="2267"/>
      <c r="R42" s="2267"/>
      <c r="S42" s="1526" t="s">
        <v>1357</v>
      </c>
      <c r="T42" s="1527">
        <v>3500000</v>
      </c>
      <c r="U42" s="1257" t="s">
        <v>1176</v>
      </c>
      <c r="V42" s="1685" t="s">
        <v>1709</v>
      </c>
      <c r="W42" s="2472"/>
      <c r="X42" s="2472"/>
      <c r="Y42" s="2472"/>
      <c r="Z42" s="2472"/>
      <c r="AA42" s="2472"/>
      <c r="AB42" s="2472"/>
      <c r="AC42" s="2472"/>
      <c r="AD42" s="2472"/>
      <c r="AE42" s="2472"/>
      <c r="AF42" s="2472"/>
      <c r="AG42" s="2472"/>
      <c r="AH42" s="2472"/>
      <c r="AI42" s="2472"/>
      <c r="AJ42" s="2510"/>
      <c r="AK42" s="2472"/>
      <c r="AL42" s="2472"/>
      <c r="AM42" s="2505"/>
      <c r="AN42" s="2507"/>
      <c r="AO42" s="2366"/>
    </row>
    <row r="43" spans="1:41" ht="90" customHeight="1" x14ac:dyDescent="0.25">
      <c r="A43" s="1167"/>
      <c r="B43" s="1307"/>
      <c r="C43" s="1507"/>
      <c r="D43" s="2459"/>
      <c r="E43" s="2463"/>
      <c r="F43" s="2464"/>
      <c r="G43" s="2206"/>
      <c r="H43" s="2206"/>
      <c r="I43" s="2499"/>
      <c r="J43" s="2267"/>
      <c r="K43" s="2473"/>
      <c r="L43" s="2212"/>
      <c r="M43" s="2206"/>
      <c r="N43" s="2247"/>
      <c r="O43" s="2503"/>
      <c r="P43" s="2512"/>
      <c r="Q43" s="2267"/>
      <c r="R43" s="2267"/>
      <c r="S43" s="1526" t="s">
        <v>1358</v>
      </c>
      <c r="T43" s="1527">
        <v>32214000</v>
      </c>
      <c r="U43" s="1257" t="s">
        <v>1176</v>
      </c>
      <c r="V43" s="1685" t="s">
        <v>1709</v>
      </c>
      <c r="W43" s="2472"/>
      <c r="X43" s="2472"/>
      <c r="Y43" s="2472"/>
      <c r="Z43" s="2472"/>
      <c r="AA43" s="2472"/>
      <c r="AB43" s="2472"/>
      <c r="AC43" s="2472"/>
      <c r="AD43" s="2472"/>
      <c r="AE43" s="2472"/>
      <c r="AF43" s="2472"/>
      <c r="AG43" s="2472"/>
      <c r="AH43" s="2472"/>
      <c r="AI43" s="2472"/>
      <c r="AJ43" s="2510"/>
      <c r="AK43" s="2472"/>
      <c r="AL43" s="2472"/>
      <c r="AM43" s="2505"/>
      <c r="AN43" s="2507"/>
      <c r="AO43" s="2366"/>
    </row>
    <row r="44" spans="1:41" ht="100.9" customHeight="1" x14ac:dyDescent="0.25">
      <c r="A44" s="1167"/>
      <c r="B44" s="1307"/>
      <c r="C44" s="1507"/>
      <c r="D44" s="2459"/>
      <c r="E44" s="2463"/>
      <c r="F44" s="2464"/>
      <c r="G44" s="2206"/>
      <c r="H44" s="2206"/>
      <c r="I44" s="2499"/>
      <c r="J44" s="2267"/>
      <c r="K44" s="2473"/>
      <c r="L44" s="2212"/>
      <c r="M44" s="2206"/>
      <c r="N44" s="2247"/>
      <c r="O44" s="2503"/>
      <c r="P44" s="2512"/>
      <c r="Q44" s="2267"/>
      <c r="R44" s="2267"/>
      <c r="S44" s="1526" t="s">
        <v>1335</v>
      </c>
      <c r="T44" s="1527">
        <v>33200000</v>
      </c>
      <c r="U44" s="1257" t="s">
        <v>1176</v>
      </c>
      <c r="V44" s="1685" t="s">
        <v>1709</v>
      </c>
      <c r="W44" s="2472"/>
      <c r="X44" s="2472"/>
      <c r="Y44" s="2472"/>
      <c r="Z44" s="2472"/>
      <c r="AA44" s="2472"/>
      <c r="AB44" s="2472"/>
      <c r="AC44" s="2472"/>
      <c r="AD44" s="2472"/>
      <c r="AE44" s="2472"/>
      <c r="AF44" s="2472"/>
      <c r="AG44" s="2472"/>
      <c r="AH44" s="2472"/>
      <c r="AI44" s="2472"/>
      <c r="AJ44" s="2510"/>
      <c r="AK44" s="2472"/>
      <c r="AL44" s="2472"/>
      <c r="AM44" s="2505"/>
      <c r="AN44" s="2507"/>
      <c r="AO44" s="2366"/>
    </row>
    <row r="45" spans="1:41" ht="104.25" customHeight="1" x14ac:dyDescent="0.25">
      <c r="A45" s="1167"/>
      <c r="B45" s="1307"/>
      <c r="C45" s="1507"/>
      <c r="D45" s="2459"/>
      <c r="E45" s="2463"/>
      <c r="F45" s="2464"/>
      <c r="G45" s="2206"/>
      <c r="H45" s="2206"/>
      <c r="I45" s="2499"/>
      <c r="J45" s="2267"/>
      <c r="K45" s="2473"/>
      <c r="L45" s="2212"/>
      <c r="M45" s="2206"/>
      <c r="N45" s="2247"/>
      <c r="O45" s="2503"/>
      <c r="P45" s="2512"/>
      <c r="Q45" s="2267"/>
      <c r="R45" s="2267"/>
      <c r="S45" s="1526" t="s">
        <v>1336</v>
      </c>
      <c r="T45" s="1527">
        <v>194417100</v>
      </c>
      <c r="U45" s="1257" t="s">
        <v>1176</v>
      </c>
      <c r="V45" s="1685" t="s">
        <v>1709</v>
      </c>
      <c r="W45" s="2472"/>
      <c r="X45" s="2472"/>
      <c r="Y45" s="2472"/>
      <c r="Z45" s="2472"/>
      <c r="AA45" s="2472"/>
      <c r="AB45" s="2472"/>
      <c r="AC45" s="2472"/>
      <c r="AD45" s="2472"/>
      <c r="AE45" s="2472"/>
      <c r="AF45" s="2472"/>
      <c r="AG45" s="2472"/>
      <c r="AH45" s="2472"/>
      <c r="AI45" s="2472"/>
      <c r="AJ45" s="2510"/>
      <c r="AK45" s="2472"/>
      <c r="AL45" s="2472"/>
      <c r="AM45" s="2505"/>
      <c r="AN45" s="2507"/>
      <c r="AO45" s="2366"/>
    </row>
    <row r="46" spans="1:41" ht="61.5" customHeight="1" x14ac:dyDescent="0.25">
      <c r="A46" s="1167"/>
      <c r="B46" s="1307"/>
      <c r="C46" s="1507"/>
      <c r="D46" s="2459"/>
      <c r="E46" s="2463"/>
      <c r="F46" s="2464"/>
      <c r="G46" s="2206"/>
      <c r="H46" s="2206"/>
      <c r="I46" s="2499"/>
      <c r="J46" s="2267"/>
      <c r="K46" s="2473"/>
      <c r="L46" s="2212"/>
      <c r="M46" s="2206"/>
      <c r="N46" s="2247"/>
      <c r="O46" s="2503"/>
      <c r="P46" s="2512"/>
      <c r="Q46" s="2267"/>
      <c r="R46" s="2267"/>
      <c r="S46" s="1526" t="s">
        <v>1337</v>
      </c>
      <c r="T46" s="1527">
        <v>22575000</v>
      </c>
      <c r="U46" s="1257" t="s">
        <v>1176</v>
      </c>
      <c r="V46" s="1685" t="s">
        <v>1709</v>
      </c>
      <c r="W46" s="2472"/>
      <c r="X46" s="2472"/>
      <c r="Y46" s="2472"/>
      <c r="Z46" s="2472"/>
      <c r="AA46" s="2472"/>
      <c r="AB46" s="2472"/>
      <c r="AC46" s="2472"/>
      <c r="AD46" s="2472"/>
      <c r="AE46" s="2472"/>
      <c r="AF46" s="2472"/>
      <c r="AG46" s="2472"/>
      <c r="AH46" s="2472"/>
      <c r="AI46" s="2472"/>
      <c r="AJ46" s="2510"/>
      <c r="AK46" s="2472"/>
      <c r="AL46" s="2472"/>
      <c r="AM46" s="2505"/>
      <c r="AN46" s="2507"/>
      <c r="AO46" s="2366"/>
    </row>
    <row r="47" spans="1:41" ht="111" customHeight="1" x14ac:dyDescent="0.25">
      <c r="A47" s="1167"/>
      <c r="B47" s="1307"/>
      <c r="C47" s="1507"/>
      <c r="D47" s="2459"/>
      <c r="E47" s="2463"/>
      <c r="F47" s="2464"/>
      <c r="G47" s="2206"/>
      <c r="H47" s="2206"/>
      <c r="I47" s="2499"/>
      <c r="J47" s="2267"/>
      <c r="K47" s="2473"/>
      <c r="L47" s="2212"/>
      <c r="M47" s="2206"/>
      <c r="N47" s="2247"/>
      <c r="O47" s="2503"/>
      <c r="P47" s="2512"/>
      <c r="Q47" s="2267"/>
      <c r="R47" s="2267"/>
      <c r="S47" s="1526" t="s">
        <v>1359</v>
      </c>
      <c r="T47" s="1527">
        <v>76737500</v>
      </c>
      <c r="U47" s="1257" t="s">
        <v>1176</v>
      </c>
      <c r="V47" s="1685" t="s">
        <v>1709</v>
      </c>
      <c r="W47" s="2472"/>
      <c r="X47" s="2472"/>
      <c r="Y47" s="2472"/>
      <c r="Z47" s="2472"/>
      <c r="AA47" s="2472"/>
      <c r="AB47" s="2472"/>
      <c r="AC47" s="2472"/>
      <c r="AD47" s="2472"/>
      <c r="AE47" s="2472"/>
      <c r="AF47" s="2472"/>
      <c r="AG47" s="2472"/>
      <c r="AH47" s="2472"/>
      <c r="AI47" s="2472"/>
      <c r="AJ47" s="2510"/>
      <c r="AK47" s="2472"/>
      <c r="AL47" s="2472"/>
      <c r="AM47" s="2505"/>
      <c r="AN47" s="2507"/>
      <c r="AO47" s="2366"/>
    </row>
    <row r="48" spans="1:41" ht="105" customHeight="1" x14ac:dyDescent="0.25">
      <c r="A48" s="1167"/>
      <c r="B48" s="1307"/>
      <c r="C48" s="1507"/>
      <c r="D48" s="2459"/>
      <c r="E48" s="2463"/>
      <c r="F48" s="2464"/>
      <c r="G48" s="2206"/>
      <c r="H48" s="2206"/>
      <c r="I48" s="2499"/>
      <c r="J48" s="2267"/>
      <c r="K48" s="2473"/>
      <c r="L48" s="2212"/>
      <c r="M48" s="2206"/>
      <c r="N48" s="2247"/>
      <c r="O48" s="2503"/>
      <c r="P48" s="2512"/>
      <c r="Q48" s="2267"/>
      <c r="R48" s="2267"/>
      <c r="S48" s="1526" t="s">
        <v>1360</v>
      </c>
      <c r="T48" s="1527">
        <v>51105000</v>
      </c>
      <c r="U48" s="1257" t="s">
        <v>1176</v>
      </c>
      <c r="V48" s="1685" t="s">
        <v>1709</v>
      </c>
      <c r="W48" s="2472"/>
      <c r="X48" s="2472"/>
      <c r="Y48" s="2472"/>
      <c r="Z48" s="2472"/>
      <c r="AA48" s="2472"/>
      <c r="AB48" s="2472"/>
      <c r="AC48" s="2472"/>
      <c r="AD48" s="2472"/>
      <c r="AE48" s="2472"/>
      <c r="AF48" s="2472"/>
      <c r="AG48" s="2472"/>
      <c r="AH48" s="2472"/>
      <c r="AI48" s="2472"/>
      <c r="AJ48" s="2510"/>
      <c r="AK48" s="2472"/>
      <c r="AL48" s="2472"/>
      <c r="AM48" s="2505"/>
      <c r="AN48" s="2507"/>
      <c r="AO48" s="2366"/>
    </row>
    <row r="49" spans="1:73" ht="84" customHeight="1" x14ac:dyDescent="0.25">
      <c r="A49" s="1502"/>
      <c r="C49" s="1503"/>
      <c r="D49" s="2460"/>
      <c r="E49" s="2465"/>
      <c r="F49" s="2466"/>
      <c r="G49" s="2206"/>
      <c r="H49" s="2206"/>
      <c r="I49" s="2499"/>
      <c r="J49" s="2267"/>
      <c r="K49" s="2473"/>
      <c r="L49" s="2212"/>
      <c r="M49" s="2206"/>
      <c r="N49" s="2247"/>
      <c r="O49" s="2504"/>
      <c r="P49" s="2512"/>
      <c r="Q49" s="2267"/>
      <c r="R49" s="2267"/>
      <c r="S49" s="1495" t="s">
        <v>1361</v>
      </c>
      <c r="T49" s="1529">
        <v>396417991.70999998</v>
      </c>
      <c r="U49" s="1257" t="s">
        <v>1176</v>
      </c>
      <c r="V49" s="1685" t="s">
        <v>1709</v>
      </c>
      <c r="W49" s="2472"/>
      <c r="X49" s="2472"/>
      <c r="Y49" s="2472"/>
      <c r="Z49" s="2472"/>
      <c r="AA49" s="2472"/>
      <c r="AB49" s="2472"/>
      <c r="AC49" s="2472"/>
      <c r="AD49" s="2472"/>
      <c r="AE49" s="2472"/>
      <c r="AF49" s="2472"/>
      <c r="AG49" s="2472"/>
      <c r="AH49" s="2472"/>
      <c r="AI49" s="2472"/>
      <c r="AJ49" s="2511"/>
      <c r="AK49" s="2472"/>
      <c r="AL49" s="2472"/>
      <c r="AM49" s="2505"/>
      <c r="AN49" s="2508"/>
      <c r="AO49" s="2366"/>
    </row>
    <row r="50" spans="1:73" s="169" customFormat="1" ht="27" customHeight="1" x14ac:dyDescent="0.25">
      <c r="A50" s="34"/>
      <c r="B50" s="35"/>
      <c r="C50" s="1359"/>
      <c r="D50" s="1530">
        <v>40</v>
      </c>
      <c r="E50" s="836" t="s">
        <v>1142</v>
      </c>
      <c r="F50" s="1513"/>
      <c r="G50" s="835"/>
      <c r="H50" s="835"/>
      <c r="I50" s="208"/>
      <c r="J50" s="208"/>
      <c r="K50" s="836"/>
      <c r="L50" s="1516"/>
      <c r="M50" s="1513"/>
      <c r="N50" s="208"/>
      <c r="O50" s="215"/>
      <c r="P50" s="1514"/>
      <c r="Q50" s="303"/>
      <c r="R50" s="261"/>
      <c r="S50" s="208"/>
      <c r="T50" s="1514"/>
      <c r="U50" s="1515"/>
      <c r="V50" s="1491"/>
      <c r="W50" s="262"/>
      <c r="X50" s="262"/>
      <c r="Y50" s="262"/>
      <c r="Z50" s="262"/>
      <c r="AA50" s="262"/>
      <c r="AB50" s="262"/>
      <c r="AC50" s="262"/>
      <c r="AD50" s="262"/>
      <c r="AE50" s="262"/>
      <c r="AF50" s="262"/>
      <c r="AG50" s="262"/>
      <c r="AH50" s="262"/>
      <c r="AI50" s="262"/>
      <c r="AJ50" s="262"/>
      <c r="AK50" s="262"/>
      <c r="AL50" s="262"/>
      <c r="AM50" s="269"/>
      <c r="AN50" s="269"/>
      <c r="AO50" s="1501"/>
    </row>
    <row r="51" spans="1:73" ht="112.5" customHeight="1" x14ac:dyDescent="0.25">
      <c r="A51" s="1167"/>
      <c r="B51" s="1307"/>
      <c r="C51" s="1307"/>
      <c r="D51" s="1340"/>
      <c r="E51" s="1288"/>
      <c r="F51" s="1317"/>
      <c r="G51" s="2204">
        <v>4302020</v>
      </c>
      <c r="H51" s="2206" t="s">
        <v>1362</v>
      </c>
      <c r="I51" s="2499" t="s">
        <v>1363</v>
      </c>
      <c r="J51" s="2267" t="s">
        <v>1363</v>
      </c>
      <c r="K51" s="2473">
        <v>0.25</v>
      </c>
      <c r="L51" s="2323" t="s">
        <v>1708</v>
      </c>
      <c r="M51" s="2206" t="s">
        <v>1324</v>
      </c>
      <c r="N51" s="2247" t="s">
        <v>1325</v>
      </c>
      <c r="O51" s="2513">
        <f>P51/SUM(P16,P33,P37,P51,P92,P107,P110)</f>
        <v>3.3239485304596104E-2</v>
      </c>
      <c r="P51" s="2485">
        <f>SUM(T51:T57)</f>
        <v>64725314.579999998</v>
      </c>
      <c r="Q51" s="2267" t="s">
        <v>1326</v>
      </c>
      <c r="R51" s="2514" t="s">
        <v>1327</v>
      </c>
      <c r="S51" s="1296" t="s">
        <v>1364</v>
      </c>
      <c r="T51" s="1531">
        <f>10749000-10749000</f>
        <v>0</v>
      </c>
      <c r="U51" s="1257" t="s">
        <v>1176</v>
      </c>
      <c r="V51" s="1685" t="s">
        <v>1709</v>
      </c>
      <c r="W51" s="2472">
        <v>295972</v>
      </c>
      <c r="X51" s="2472">
        <v>285580</v>
      </c>
      <c r="Y51" s="2472">
        <v>135545</v>
      </c>
      <c r="Z51" s="2472">
        <v>44254</v>
      </c>
      <c r="AA51" s="2472">
        <v>309146</v>
      </c>
      <c r="AB51" s="2472">
        <v>92607</v>
      </c>
      <c r="AC51" s="2472">
        <v>2145</v>
      </c>
      <c r="AD51" s="2472">
        <v>12718</v>
      </c>
      <c r="AE51" s="2472">
        <v>26</v>
      </c>
      <c r="AF51" s="2472">
        <v>37</v>
      </c>
      <c r="AG51" s="2472">
        <v>0</v>
      </c>
      <c r="AH51" s="2472">
        <v>0</v>
      </c>
      <c r="AI51" s="2472">
        <v>44350</v>
      </c>
      <c r="AJ51" s="2472">
        <v>21944</v>
      </c>
      <c r="AK51" s="2472">
        <v>75687</v>
      </c>
      <c r="AL51" s="2472">
        <f>+W51+X51</f>
        <v>581552</v>
      </c>
      <c r="AM51" s="2521"/>
      <c r="AN51" s="2521"/>
      <c r="AO51" s="2271" t="s">
        <v>1312</v>
      </c>
    </row>
    <row r="52" spans="1:73" ht="96.75" customHeight="1" x14ac:dyDescent="0.25">
      <c r="A52" s="1167"/>
      <c r="B52" s="1307"/>
      <c r="C52" s="1307"/>
      <c r="D52" s="1341"/>
      <c r="E52" s="1316"/>
      <c r="F52" s="1318"/>
      <c r="G52" s="2204"/>
      <c r="H52" s="2206"/>
      <c r="I52" s="2499"/>
      <c r="J52" s="2267"/>
      <c r="K52" s="2473"/>
      <c r="L52" s="2323"/>
      <c r="M52" s="2206"/>
      <c r="N52" s="2247"/>
      <c r="O52" s="2513"/>
      <c r="P52" s="2485"/>
      <c r="Q52" s="2267"/>
      <c r="R52" s="2515"/>
      <c r="S52" s="1296" t="s">
        <v>1365</v>
      </c>
      <c r="T52" s="1531">
        <f>10749000-10749000</f>
        <v>0</v>
      </c>
      <c r="U52" s="1257" t="s">
        <v>1176</v>
      </c>
      <c r="V52" s="1685" t="s">
        <v>1709</v>
      </c>
      <c r="W52" s="2472"/>
      <c r="X52" s="2472"/>
      <c r="Y52" s="2472"/>
      <c r="Z52" s="2472"/>
      <c r="AA52" s="2472"/>
      <c r="AB52" s="2472"/>
      <c r="AC52" s="2472"/>
      <c r="AD52" s="2472"/>
      <c r="AE52" s="2472"/>
      <c r="AF52" s="2472"/>
      <c r="AG52" s="2472"/>
      <c r="AH52" s="2472"/>
      <c r="AI52" s="2472"/>
      <c r="AJ52" s="2472"/>
      <c r="AK52" s="2472"/>
      <c r="AL52" s="2472"/>
      <c r="AM52" s="2522"/>
      <c r="AN52" s="2522"/>
      <c r="AO52" s="2272"/>
    </row>
    <row r="53" spans="1:73" ht="56.25" customHeight="1" x14ac:dyDescent="0.25">
      <c r="A53" s="1167"/>
      <c r="B53" s="1307"/>
      <c r="C53" s="1307"/>
      <c r="D53" s="1341"/>
      <c r="E53" s="1316"/>
      <c r="F53" s="1318"/>
      <c r="G53" s="2204"/>
      <c r="H53" s="2206"/>
      <c r="I53" s="2499"/>
      <c r="J53" s="2267"/>
      <c r="K53" s="2473"/>
      <c r="L53" s="2323"/>
      <c r="M53" s="2206"/>
      <c r="N53" s="2247"/>
      <c r="O53" s="2513"/>
      <c r="P53" s="2485"/>
      <c r="Q53" s="2267"/>
      <c r="R53" s="2515"/>
      <c r="S53" s="1296" t="s">
        <v>1366</v>
      </c>
      <c r="T53" s="1531">
        <f>10749000-10749000</f>
        <v>0</v>
      </c>
      <c r="U53" s="1257" t="s">
        <v>1176</v>
      </c>
      <c r="V53" s="1685" t="s">
        <v>1709</v>
      </c>
      <c r="W53" s="2472"/>
      <c r="X53" s="2472"/>
      <c r="Y53" s="2472"/>
      <c r="Z53" s="2472"/>
      <c r="AA53" s="2472"/>
      <c r="AB53" s="2472"/>
      <c r="AC53" s="2472"/>
      <c r="AD53" s="2472"/>
      <c r="AE53" s="2472"/>
      <c r="AF53" s="2472"/>
      <c r="AG53" s="2472"/>
      <c r="AH53" s="2472"/>
      <c r="AI53" s="2472"/>
      <c r="AJ53" s="2472"/>
      <c r="AK53" s="2472"/>
      <c r="AL53" s="2472"/>
      <c r="AM53" s="2522"/>
      <c r="AN53" s="2522"/>
      <c r="AO53" s="2272"/>
    </row>
    <row r="54" spans="1:73" ht="39.75" customHeight="1" x14ac:dyDescent="0.25">
      <c r="A54" s="1167"/>
      <c r="B54" s="1307"/>
      <c r="C54" s="1307"/>
      <c r="D54" s="2477"/>
      <c r="E54" s="2518"/>
      <c r="F54" s="2519"/>
      <c r="G54" s="2204"/>
      <c r="H54" s="2206"/>
      <c r="I54" s="2499"/>
      <c r="J54" s="2267"/>
      <c r="K54" s="2473"/>
      <c r="L54" s="2323"/>
      <c r="M54" s="2206"/>
      <c r="N54" s="2247"/>
      <c r="O54" s="2513"/>
      <c r="P54" s="2485"/>
      <c r="Q54" s="2267"/>
      <c r="R54" s="2515"/>
      <c r="S54" s="2356" t="s">
        <v>1361</v>
      </c>
      <c r="T54" s="1532">
        <f>801251738-791251738</f>
        <v>10000000</v>
      </c>
      <c r="U54" s="1257" t="s">
        <v>1176</v>
      </c>
      <c r="V54" s="1685" t="s">
        <v>1709</v>
      </c>
      <c r="W54" s="2472"/>
      <c r="X54" s="2472"/>
      <c r="Y54" s="2472"/>
      <c r="Z54" s="2472"/>
      <c r="AA54" s="2472"/>
      <c r="AB54" s="2472"/>
      <c r="AC54" s="2472"/>
      <c r="AD54" s="2472"/>
      <c r="AE54" s="2472"/>
      <c r="AF54" s="2472"/>
      <c r="AG54" s="2472"/>
      <c r="AH54" s="2472"/>
      <c r="AI54" s="2472"/>
      <c r="AJ54" s="2472"/>
      <c r="AK54" s="2472"/>
      <c r="AL54" s="2472"/>
      <c r="AM54" s="2522"/>
      <c r="AN54" s="2522"/>
      <c r="AO54" s="2272"/>
    </row>
    <row r="55" spans="1:73" ht="52.5" customHeight="1" x14ac:dyDescent="0.25">
      <c r="A55" s="1167"/>
      <c r="B55" s="1307"/>
      <c r="C55" s="1307"/>
      <c r="D55" s="2477"/>
      <c r="E55" s="2518"/>
      <c r="F55" s="2519"/>
      <c r="G55" s="2204"/>
      <c r="H55" s="2206"/>
      <c r="I55" s="2499"/>
      <c r="J55" s="2267"/>
      <c r="K55" s="2473"/>
      <c r="L55" s="2323"/>
      <c r="M55" s="2206"/>
      <c r="N55" s="2247"/>
      <c r="O55" s="2513"/>
      <c r="P55" s="2485"/>
      <c r="Q55" s="2267"/>
      <c r="R55" s="2515"/>
      <c r="S55" s="2320"/>
      <c r="T55" s="1531">
        <v>54725314.579999998</v>
      </c>
      <c r="U55" s="61">
        <v>82</v>
      </c>
      <c r="V55" s="1685" t="s">
        <v>1711</v>
      </c>
      <c r="W55" s="2472"/>
      <c r="X55" s="2472"/>
      <c r="Y55" s="2472"/>
      <c r="Z55" s="2472"/>
      <c r="AA55" s="2472"/>
      <c r="AB55" s="2472"/>
      <c r="AC55" s="2472"/>
      <c r="AD55" s="2472"/>
      <c r="AE55" s="2472"/>
      <c r="AF55" s="2472"/>
      <c r="AG55" s="2472"/>
      <c r="AH55" s="2472"/>
      <c r="AI55" s="2472"/>
      <c r="AJ55" s="2472"/>
      <c r="AK55" s="2472"/>
      <c r="AL55" s="2472"/>
      <c r="AM55" s="2522"/>
      <c r="AN55" s="2522"/>
      <c r="AO55" s="2272"/>
    </row>
    <row r="56" spans="1:73" ht="68.25" customHeight="1" x14ac:dyDescent="0.25">
      <c r="A56" s="1167"/>
      <c r="B56" s="1307"/>
      <c r="C56" s="1307"/>
      <c r="D56" s="2477"/>
      <c r="E56" s="2518"/>
      <c r="F56" s="2519"/>
      <c r="G56" s="2204"/>
      <c r="H56" s="2206"/>
      <c r="I56" s="2499"/>
      <c r="J56" s="2267"/>
      <c r="K56" s="2473"/>
      <c r="L56" s="2323"/>
      <c r="M56" s="2206"/>
      <c r="N56" s="2247"/>
      <c r="O56" s="2513"/>
      <c r="P56" s="2485"/>
      <c r="Q56" s="2267"/>
      <c r="R56" s="2515"/>
      <c r="S56" s="1296" t="s">
        <v>1367</v>
      </c>
      <c r="T56" s="1531">
        <f>1000000-1000000</f>
        <v>0</v>
      </c>
      <c r="U56" s="1257" t="s">
        <v>1176</v>
      </c>
      <c r="V56" s="1685" t="s">
        <v>1709</v>
      </c>
      <c r="W56" s="2472"/>
      <c r="X56" s="2472"/>
      <c r="Y56" s="2472"/>
      <c r="Z56" s="2472"/>
      <c r="AA56" s="2472"/>
      <c r="AB56" s="2472"/>
      <c r="AC56" s="2472"/>
      <c r="AD56" s="2472"/>
      <c r="AE56" s="2472"/>
      <c r="AF56" s="2472"/>
      <c r="AG56" s="2472"/>
      <c r="AH56" s="2472"/>
      <c r="AI56" s="2472"/>
      <c r="AJ56" s="2472"/>
      <c r="AK56" s="2472"/>
      <c r="AL56" s="2472"/>
      <c r="AM56" s="2522"/>
      <c r="AN56" s="2522"/>
      <c r="AO56" s="2272"/>
    </row>
    <row r="57" spans="1:73" ht="79.5" customHeight="1" x14ac:dyDescent="0.25">
      <c r="A57" s="1502"/>
      <c r="D57" s="2478"/>
      <c r="E57" s="2154"/>
      <c r="F57" s="2520"/>
      <c r="G57" s="2204"/>
      <c r="H57" s="2206"/>
      <c r="I57" s="2499"/>
      <c r="J57" s="2267"/>
      <c r="K57" s="2473"/>
      <c r="L57" s="2323"/>
      <c r="M57" s="2206"/>
      <c r="N57" s="2247"/>
      <c r="O57" s="2513"/>
      <c r="P57" s="2485"/>
      <c r="Q57" s="2267"/>
      <c r="R57" s="2516"/>
      <c r="S57" s="1296" t="s">
        <v>1368</v>
      </c>
      <c r="T57" s="1531">
        <f>1000000-1000000</f>
        <v>0</v>
      </c>
      <c r="U57" s="1257" t="s">
        <v>1176</v>
      </c>
      <c r="V57" s="1685" t="s">
        <v>1709</v>
      </c>
      <c r="W57" s="2472"/>
      <c r="X57" s="2472"/>
      <c r="Y57" s="2472"/>
      <c r="Z57" s="2472"/>
      <c r="AA57" s="2472"/>
      <c r="AB57" s="2472"/>
      <c r="AC57" s="2472"/>
      <c r="AD57" s="2472"/>
      <c r="AE57" s="2472"/>
      <c r="AF57" s="2472"/>
      <c r="AG57" s="2472"/>
      <c r="AH57" s="2472"/>
      <c r="AI57" s="2472"/>
      <c r="AJ57" s="2472"/>
      <c r="AK57" s="2472"/>
      <c r="AL57" s="2472"/>
      <c r="AM57" s="2523"/>
      <c r="AN57" s="2523"/>
      <c r="AO57" s="2273"/>
    </row>
    <row r="58" spans="1:73" ht="27" customHeight="1" x14ac:dyDescent="0.25">
      <c r="A58" s="1533">
        <v>2</v>
      </c>
      <c r="B58" s="286" t="s">
        <v>326</v>
      </c>
      <c r="C58" s="287"/>
      <c r="D58" s="1480"/>
      <c r="E58" s="292"/>
      <c r="F58" s="292"/>
      <c r="G58" s="292"/>
      <c r="H58" s="292"/>
      <c r="I58" s="193"/>
      <c r="J58" s="193"/>
      <c r="K58" s="196"/>
      <c r="L58" s="1534"/>
      <c r="M58" s="1480"/>
      <c r="N58" s="193"/>
      <c r="O58" s="198"/>
      <c r="P58" s="1535"/>
      <c r="Q58" s="288"/>
      <c r="R58" s="288"/>
      <c r="S58" s="193"/>
      <c r="T58" s="1535"/>
      <c r="U58" s="201"/>
      <c r="V58" s="1534"/>
      <c r="W58" s="196"/>
      <c r="X58" s="196"/>
      <c r="Y58" s="196"/>
      <c r="Z58" s="196"/>
      <c r="AA58" s="196"/>
      <c r="AB58" s="196"/>
      <c r="AC58" s="196"/>
      <c r="AD58" s="196"/>
      <c r="AE58" s="196"/>
      <c r="AF58" s="196"/>
      <c r="AG58" s="196"/>
      <c r="AH58" s="196"/>
      <c r="AI58" s="196"/>
      <c r="AJ58" s="196"/>
      <c r="AK58" s="196"/>
      <c r="AL58" s="196"/>
      <c r="AM58" s="293"/>
      <c r="AN58" s="293"/>
      <c r="AO58" s="1536"/>
      <c r="AP58" s="169"/>
      <c r="AQ58" s="169"/>
      <c r="AR58" s="169"/>
      <c r="AS58" s="169"/>
      <c r="AT58" s="169"/>
      <c r="AU58" s="169"/>
      <c r="AV58" s="169"/>
      <c r="AW58" s="169"/>
      <c r="AX58" s="169"/>
      <c r="AY58" s="169"/>
      <c r="AZ58" s="169"/>
      <c r="BA58" s="169"/>
      <c r="BB58" s="169"/>
      <c r="BC58" s="169"/>
      <c r="BD58" s="169"/>
      <c r="BE58" s="169"/>
      <c r="BF58" s="169"/>
      <c r="BG58" s="169"/>
    </row>
    <row r="59" spans="1:73" s="169" customFormat="1" ht="32.25" customHeight="1" x14ac:dyDescent="0.25">
      <c r="A59" s="1283"/>
      <c r="B59" s="1354"/>
      <c r="C59" s="1355"/>
      <c r="D59" s="1489">
        <v>10</v>
      </c>
      <c r="E59" s="211" t="s">
        <v>450</v>
      </c>
      <c r="F59" s="1490"/>
      <c r="G59" s="209"/>
      <c r="H59" s="209"/>
      <c r="I59" s="210"/>
      <c r="J59" s="210"/>
      <c r="K59" s="211"/>
      <c r="L59" s="1491"/>
      <c r="M59" s="1490"/>
      <c r="N59" s="210"/>
      <c r="O59" s="296"/>
      <c r="P59" s="1500"/>
      <c r="Q59" s="261"/>
      <c r="R59" s="261"/>
      <c r="S59" s="210"/>
      <c r="T59" s="1500"/>
      <c r="U59" s="1493"/>
      <c r="V59" s="1491"/>
      <c r="W59" s="262"/>
      <c r="X59" s="262"/>
      <c r="Y59" s="262"/>
      <c r="Z59" s="262"/>
      <c r="AA59" s="262"/>
      <c r="AB59" s="262"/>
      <c r="AC59" s="262"/>
      <c r="AD59" s="262"/>
      <c r="AE59" s="262"/>
      <c r="AF59" s="262"/>
      <c r="AG59" s="262"/>
      <c r="AH59" s="262"/>
      <c r="AI59" s="262"/>
      <c r="AJ59" s="262"/>
      <c r="AK59" s="262"/>
      <c r="AL59" s="262"/>
      <c r="AM59" s="269"/>
      <c r="AN59" s="269"/>
      <c r="AO59" s="1499"/>
    </row>
    <row r="60" spans="1:73" ht="147" customHeight="1" x14ac:dyDescent="0.25">
      <c r="A60" s="1502"/>
      <c r="C60" s="1503"/>
      <c r="D60" s="1537"/>
      <c r="E60" s="1537"/>
      <c r="F60" s="1538"/>
      <c r="G60" s="1016">
        <v>1709078</v>
      </c>
      <c r="H60" s="1016" t="s">
        <v>1369</v>
      </c>
      <c r="I60" s="1495" t="s">
        <v>1370</v>
      </c>
      <c r="J60" s="1305" t="s">
        <v>1370</v>
      </c>
      <c r="K60" s="1304">
        <v>1</v>
      </c>
      <c r="L60" s="1287" t="s">
        <v>1371</v>
      </c>
      <c r="M60" s="1281" t="s">
        <v>1372</v>
      </c>
      <c r="N60" s="1282" t="s">
        <v>1373</v>
      </c>
      <c r="O60" s="1539">
        <f>(T60)/(P60+P62+P88)</f>
        <v>0.5</v>
      </c>
      <c r="P60" s="1540">
        <f>SUM(T60:T61)</f>
        <v>2000000</v>
      </c>
      <c r="Q60" s="1286" t="s">
        <v>1374</v>
      </c>
      <c r="R60" s="1286" t="s">
        <v>1375</v>
      </c>
      <c r="S60" s="1495" t="s">
        <v>1370</v>
      </c>
      <c r="T60" s="1498">
        <v>2000000</v>
      </c>
      <c r="U60" s="1299">
        <v>88</v>
      </c>
      <c r="V60" s="1662" t="s">
        <v>227</v>
      </c>
      <c r="W60" s="118">
        <v>295972</v>
      </c>
      <c r="X60" s="118">
        <v>294321</v>
      </c>
      <c r="Y60" s="118">
        <v>132302</v>
      </c>
      <c r="Z60" s="118">
        <v>43426</v>
      </c>
      <c r="AA60" s="118">
        <v>313940</v>
      </c>
      <c r="AB60" s="118">
        <v>100625</v>
      </c>
      <c r="AC60" s="118">
        <v>2145</v>
      </c>
      <c r="AD60" s="118">
        <v>12718</v>
      </c>
      <c r="AE60" s="118">
        <v>36</v>
      </c>
      <c r="AF60" s="118">
        <v>0</v>
      </c>
      <c r="AG60" s="118">
        <v>0</v>
      </c>
      <c r="AH60" s="118">
        <v>0</v>
      </c>
      <c r="AI60" s="118">
        <v>70</v>
      </c>
      <c r="AJ60" s="118">
        <v>21944</v>
      </c>
      <c r="AK60" s="118">
        <v>285</v>
      </c>
      <c r="AL60" s="118">
        <v>590292</v>
      </c>
      <c r="AM60" s="1319">
        <v>44033</v>
      </c>
      <c r="AN60" s="1319">
        <v>44195</v>
      </c>
      <c r="AO60" s="1303" t="s">
        <v>1312</v>
      </c>
      <c r="AP60" s="2517"/>
      <c r="AQ60" s="2517"/>
      <c r="AR60" s="2517"/>
      <c r="AS60" s="2517"/>
      <c r="AT60" s="2517"/>
      <c r="AU60" s="2517"/>
      <c r="AV60" s="2517"/>
      <c r="AW60" s="2517"/>
      <c r="AX60" s="2517"/>
      <c r="AY60" s="2517"/>
      <c r="AZ60" s="2517"/>
      <c r="BA60" s="2517"/>
      <c r="BB60" s="2517"/>
      <c r="BC60" s="2517"/>
      <c r="BD60" s="2517"/>
      <c r="BE60" s="2517"/>
      <c r="BF60" s="2517"/>
      <c r="BG60" s="2517"/>
      <c r="BH60" s="2517"/>
      <c r="BI60" s="2517"/>
      <c r="BJ60" s="2517"/>
      <c r="BK60" s="2517"/>
      <c r="BL60" s="2517"/>
      <c r="BM60" s="2517"/>
      <c r="BN60" s="2517"/>
      <c r="BO60" s="2517"/>
      <c r="BP60" s="2517"/>
      <c r="BQ60" s="2517"/>
      <c r="BR60" s="2517"/>
      <c r="BS60" s="2517"/>
      <c r="BT60" s="2517"/>
      <c r="BU60" s="2517"/>
    </row>
    <row r="61" spans="1:73" s="169" customFormat="1" ht="27" customHeight="1" x14ac:dyDescent="0.25">
      <c r="A61" s="34"/>
      <c r="B61" s="35"/>
      <c r="C61" s="1359"/>
      <c r="D61" s="1489">
        <v>27</v>
      </c>
      <c r="E61" s="211" t="s">
        <v>460</v>
      </c>
      <c r="F61" s="1490"/>
      <c r="G61" s="209"/>
      <c r="H61" s="209"/>
      <c r="I61" s="210"/>
      <c r="J61" s="210"/>
      <c r="K61" s="211"/>
      <c r="L61" s="1491"/>
      <c r="M61" s="1490"/>
      <c r="N61" s="210"/>
      <c r="O61" s="296"/>
      <c r="P61" s="1500"/>
      <c r="Q61" s="261"/>
      <c r="R61" s="261"/>
      <c r="S61" s="210"/>
      <c r="T61" s="1500"/>
      <c r="U61" s="1493"/>
      <c r="V61" s="1491"/>
      <c r="W61" s="262"/>
      <c r="X61" s="262"/>
      <c r="Y61" s="262"/>
      <c r="Z61" s="262"/>
      <c r="AA61" s="262"/>
      <c r="AB61" s="262"/>
      <c r="AC61" s="262"/>
      <c r="AD61" s="262"/>
      <c r="AE61" s="262"/>
      <c r="AF61" s="262"/>
      <c r="AG61" s="262"/>
      <c r="AH61" s="262"/>
      <c r="AI61" s="262"/>
      <c r="AJ61" s="262"/>
      <c r="AK61" s="262"/>
      <c r="AL61" s="262"/>
      <c r="AM61" s="269"/>
      <c r="AN61" s="269"/>
      <c r="AO61" s="1499"/>
      <c r="AP61" s="2517"/>
      <c r="AQ61" s="2517"/>
      <c r="AR61" s="2517"/>
      <c r="AS61" s="2517"/>
      <c r="AT61" s="2517"/>
      <c r="AU61" s="2517"/>
      <c r="AV61" s="2517"/>
      <c r="AW61" s="2517"/>
      <c r="AX61" s="2517"/>
      <c r="AY61" s="2517"/>
      <c r="AZ61" s="2517"/>
      <c r="BA61" s="2517"/>
      <c r="BB61" s="2517"/>
      <c r="BC61" s="2517"/>
      <c r="BD61" s="2517"/>
      <c r="BE61" s="2517"/>
      <c r="BF61" s="2517"/>
      <c r="BG61" s="2517"/>
      <c r="BH61" s="2517"/>
      <c r="BI61" s="2517"/>
      <c r="BJ61" s="2517"/>
      <c r="BK61" s="2517"/>
      <c r="BL61" s="2517"/>
      <c r="BM61" s="2517"/>
      <c r="BN61" s="2517"/>
      <c r="BO61" s="2517"/>
      <c r="BP61" s="2517"/>
      <c r="BQ61" s="2517"/>
      <c r="BR61" s="2517"/>
      <c r="BS61" s="2517"/>
      <c r="BT61" s="2517"/>
      <c r="BU61" s="2517"/>
    </row>
    <row r="62" spans="1:73" ht="141.75" customHeight="1" x14ac:dyDescent="0.25">
      <c r="A62" s="1541"/>
      <c r="B62" s="1537"/>
      <c r="C62" s="1538"/>
      <c r="D62" s="1505"/>
      <c r="E62" s="1505"/>
      <c r="F62" s="429"/>
      <c r="G62" s="1016">
        <v>3502084</v>
      </c>
      <c r="H62" s="1016" t="s">
        <v>1376</v>
      </c>
      <c r="I62" s="1495" t="s">
        <v>1377</v>
      </c>
      <c r="J62" s="1305" t="s">
        <v>1377</v>
      </c>
      <c r="K62" s="1327">
        <v>0.5</v>
      </c>
      <c r="L62" s="1126" t="s">
        <v>1378</v>
      </c>
      <c r="M62" s="1285" t="s">
        <v>1372</v>
      </c>
      <c r="N62" s="1286" t="s">
        <v>1379</v>
      </c>
      <c r="O62" s="1539">
        <f>(T62)/(+P60+P62+P88)</f>
        <v>0.25</v>
      </c>
      <c r="P62" s="1497">
        <f>+T62</f>
        <v>1000000</v>
      </c>
      <c r="Q62" s="1286" t="s">
        <v>1374</v>
      </c>
      <c r="R62" s="1286" t="s">
        <v>1375</v>
      </c>
      <c r="S62" s="1495" t="s">
        <v>1377</v>
      </c>
      <c r="T62" s="1498">
        <v>1000000</v>
      </c>
      <c r="U62" s="1411">
        <v>88</v>
      </c>
      <c r="V62" s="1662" t="s">
        <v>227</v>
      </c>
      <c r="W62" s="118">
        <v>295972</v>
      </c>
      <c r="X62" s="118">
        <v>294321</v>
      </c>
      <c r="Y62" s="118">
        <v>132302</v>
      </c>
      <c r="Z62" s="118">
        <v>43426</v>
      </c>
      <c r="AA62" s="118">
        <v>313940</v>
      </c>
      <c r="AB62" s="118">
        <v>100625</v>
      </c>
      <c r="AC62" s="118">
        <v>2145</v>
      </c>
      <c r="AD62" s="118">
        <v>12718</v>
      </c>
      <c r="AE62" s="118">
        <v>36</v>
      </c>
      <c r="AF62" s="118">
        <v>0</v>
      </c>
      <c r="AG62" s="118">
        <v>0</v>
      </c>
      <c r="AH62" s="118">
        <v>0</v>
      </c>
      <c r="AI62" s="118">
        <v>70</v>
      </c>
      <c r="AJ62" s="118">
        <v>21944</v>
      </c>
      <c r="AK62" s="118">
        <v>285</v>
      </c>
      <c r="AL62" s="118">
        <v>590292</v>
      </c>
      <c r="AM62" s="1279">
        <v>44033</v>
      </c>
      <c r="AN62" s="1279">
        <v>44195</v>
      </c>
      <c r="AO62" s="1303" t="s">
        <v>1312</v>
      </c>
    </row>
    <row r="63" spans="1:73" ht="27" customHeight="1" x14ac:dyDescent="0.25">
      <c r="A63" s="1533">
        <v>3</v>
      </c>
      <c r="B63" s="286" t="s">
        <v>471</v>
      </c>
      <c r="C63" s="287"/>
      <c r="D63" s="1480"/>
      <c r="E63" s="292"/>
      <c r="F63" s="292"/>
      <c r="G63" s="292"/>
      <c r="H63" s="292"/>
      <c r="I63" s="193"/>
      <c r="J63" s="193"/>
      <c r="K63" s="196"/>
      <c r="L63" s="1534"/>
      <c r="M63" s="1480"/>
      <c r="N63" s="193"/>
      <c r="O63" s="198"/>
      <c r="P63" s="1535"/>
      <c r="Q63" s="288"/>
      <c r="R63" s="288"/>
      <c r="S63" s="193"/>
      <c r="T63" s="1535"/>
      <c r="U63" s="201"/>
      <c r="V63" s="1534"/>
      <c r="W63" s="196"/>
      <c r="X63" s="196"/>
      <c r="Y63" s="196"/>
      <c r="Z63" s="196"/>
      <c r="AA63" s="196"/>
      <c r="AB63" s="196"/>
      <c r="AC63" s="196"/>
      <c r="AD63" s="196"/>
      <c r="AE63" s="196"/>
      <c r="AF63" s="196"/>
      <c r="AG63" s="196"/>
      <c r="AH63" s="196"/>
      <c r="AI63" s="196"/>
      <c r="AJ63" s="196"/>
      <c r="AK63" s="196"/>
      <c r="AL63" s="196"/>
      <c r="AM63" s="293"/>
      <c r="AN63" s="293"/>
      <c r="AO63" s="1542"/>
      <c r="AP63" s="169"/>
      <c r="AQ63" s="169"/>
      <c r="AR63" s="169"/>
      <c r="AS63" s="169"/>
      <c r="AT63" s="169"/>
      <c r="AU63" s="169"/>
      <c r="AV63" s="169"/>
      <c r="AW63" s="169"/>
      <c r="AX63" s="169"/>
      <c r="AY63" s="169"/>
      <c r="AZ63" s="169"/>
      <c r="BA63" s="169"/>
      <c r="BB63" s="169"/>
      <c r="BC63" s="169"/>
      <c r="BD63" s="169"/>
      <c r="BE63" s="169"/>
      <c r="BF63" s="169"/>
      <c r="BG63" s="169"/>
    </row>
    <row r="64" spans="1:73" s="169" customFormat="1" ht="27" customHeight="1" x14ac:dyDescent="0.25">
      <c r="A64" s="1283"/>
      <c r="B64" s="1354"/>
      <c r="C64" s="1355"/>
      <c r="D64" s="1489">
        <v>18</v>
      </c>
      <c r="E64" s="211" t="s">
        <v>585</v>
      </c>
      <c r="F64" s="1490"/>
      <c r="G64" s="209"/>
      <c r="H64" s="209"/>
      <c r="I64" s="210"/>
      <c r="J64" s="210"/>
      <c r="K64" s="211"/>
      <c r="L64" s="1491"/>
      <c r="M64" s="1490"/>
      <c r="N64" s="210"/>
      <c r="O64" s="296"/>
      <c r="P64" s="1500"/>
      <c r="Q64" s="261"/>
      <c r="R64" s="261"/>
      <c r="S64" s="210"/>
      <c r="T64" s="1500"/>
      <c r="U64" s="1493"/>
      <c r="V64" s="1491"/>
      <c r="W64" s="262"/>
      <c r="X64" s="262"/>
      <c r="Y64" s="262"/>
      <c r="Z64" s="262"/>
      <c r="AA64" s="262"/>
      <c r="AB64" s="262"/>
      <c r="AC64" s="262"/>
      <c r="AD64" s="262"/>
      <c r="AE64" s="262"/>
      <c r="AF64" s="262"/>
      <c r="AG64" s="262"/>
      <c r="AH64" s="262"/>
      <c r="AI64" s="262"/>
      <c r="AJ64" s="262"/>
      <c r="AK64" s="262"/>
      <c r="AL64" s="262"/>
      <c r="AM64" s="269"/>
      <c r="AN64" s="269"/>
      <c r="AO64" s="1501"/>
    </row>
    <row r="65" spans="1:41" ht="129" customHeight="1" x14ac:dyDescent="0.25">
      <c r="A65" s="1502"/>
      <c r="C65" s="1503"/>
      <c r="G65" s="2524" t="s">
        <v>52</v>
      </c>
      <c r="H65" s="2526" t="s">
        <v>1380</v>
      </c>
      <c r="I65" s="2528" t="s">
        <v>1381</v>
      </c>
      <c r="J65" s="2268" t="s">
        <v>1382</v>
      </c>
      <c r="K65" s="2196">
        <v>130</v>
      </c>
      <c r="L65" s="2260" t="s">
        <v>1383</v>
      </c>
      <c r="M65" s="2263" t="s">
        <v>1384</v>
      </c>
      <c r="N65" s="2263" t="s">
        <v>1385</v>
      </c>
      <c r="O65" s="2533">
        <f>P65/SUM(P65,P90)</f>
        <v>0.8186468042530769</v>
      </c>
      <c r="P65" s="2536">
        <f>SUM(T65:T86)</f>
        <v>769025413.94000006</v>
      </c>
      <c r="Q65" s="2260" t="s">
        <v>1386</v>
      </c>
      <c r="R65" s="2539" t="s">
        <v>1387</v>
      </c>
      <c r="S65" s="2545" t="s">
        <v>1388</v>
      </c>
      <c r="T65" s="1543">
        <v>200000</v>
      </c>
      <c r="U65" s="1290">
        <v>20</v>
      </c>
      <c r="V65" s="1298" t="s">
        <v>108</v>
      </c>
      <c r="W65" s="2530">
        <v>295972</v>
      </c>
      <c r="X65" s="1324">
        <v>285580</v>
      </c>
      <c r="Y65" s="2530">
        <v>135545</v>
      </c>
      <c r="Z65" s="2530">
        <v>44254</v>
      </c>
      <c r="AA65" s="2530">
        <v>309146</v>
      </c>
      <c r="AB65" s="2530">
        <v>92607</v>
      </c>
      <c r="AC65" s="2530">
        <v>2145</v>
      </c>
      <c r="AD65" s="2530">
        <v>12718</v>
      </c>
      <c r="AE65" s="2530">
        <v>26</v>
      </c>
      <c r="AF65" s="2530">
        <v>37</v>
      </c>
      <c r="AG65" s="2530">
        <v>0</v>
      </c>
      <c r="AH65" s="2530">
        <v>0</v>
      </c>
      <c r="AI65" s="2530">
        <v>44350</v>
      </c>
      <c r="AJ65" s="2530">
        <v>21944</v>
      </c>
      <c r="AK65" s="2530">
        <v>75687</v>
      </c>
      <c r="AL65" s="2530">
        <f>+W65+X65</f>
        <v>581552</v>
      </c>
      <c r="AM65" s="2551">
        <v>43857</v>
      </c>
      <c r="AN65" s="2216">
        <v>44196</v>
      </c>
      <c r="AO65" s="2182" t="s">
        <v>1312</v>
      </c>
    </row>
    <row r="66" spans="1:41" ht="129" customHeight="1" x14ac:dyDescent="0.25">
      <c r="A66" s="1502"/>
      <c r="C66" s="1503"/>
      <c r="G66" s="2524"/>
      <c r="H66" s="2527"/>
      <c r="I66" s="2529"/>
      <c r="J66" s="2269"/>
      <c r="K66" s="2197"/>
      <c r="L66" s="2261"/>
      <c r="M66" s="2263"/>
      <c r="N66" s="2263"/>
      <c r="O66" s="2534"/>
      <c r="P66" s="2537"/>
      <c r="Q66" s="2261"/>
      <c r="R66" s="2540"/>
      <c r="S66" s="2546"/>
      <c r="T66" s="1543">
        <v>2149800</v>
      </c>
      <c r="U66" s="1290">
        <v>88</v>
      </c>
      <c r="V66" s="1662" t="s">
        <v>227</v>
      </c>
      <c r="W66" s="2531"/>
      <c r="X66" s="1325"/>
      <c r="Y66" s="2531"/>
      <c r="Z66" s="2531"/>
      <c r="AA66" s="2531"/>
      <c r="AB66" s="2531"/>
      <c r="AC66" s="2531"/>
      <c r="AD66" s="2531"/>
      <c r="AE66" s="2531"/>
      <c r="AF66" s="2531"/>
      <c r="AG66" s="2531"/>
      <c r="AH66" s="2531"/>
      <c r="AI66" s="2531"/>
      <c r="AJ66" s="2531"/>
      <c r="AK66" s="2531"/>
      <c r="AL66" s="2531"/>
      <c r="AM66" s="2552"/>
      <c r="AN66" s="2217"/>
      <c r="AO66" s="2183"/>
    </row>
    <row r="67" spans="1:41" ht="49.5" customHeight="1" x14ac:dyDescent="0.25">
      <c r="A67" s="1502"/>
      <c r="C67" s="1503"/>
      <c r="G67" s="2524"/>
      <c r="H67" s="2527"/>
      <c r="I67" s="2529"/>
      <c r="J67" s="2269"/>
      <c r="K67" s="2197"/>
      <c r="L67" s="2261"/>
      <c r="M67" s="2263"/>
      <c r="N67" s="2263"/>
      <c r="O67" s="2534"/>
      <c r="P67" s="2537"/>
      <c r="Q67" s="2261"/>
      <c r="R67" s="2540"/>
      <c r="S67" s="1544" t="s">
        <v>1389</v>
      </c>
      <c r="T67" s="1545">
        <v>85000000</v>
      </c>
      <c r="U67" s="1290">
        <v>23</v>
      </c>
      <c r="V67" s="1298" t="s">
        <v>1710</v>
      </c>
      <c r="W67" s="2531"/>
      <c r="X67" s="1325"/>
      <c r="Y67" s="2531"/>
      <c r="Z67" s="2531"/>
      <c r="AA67" s="2531"/>
      <c r="AB67" s="2531"/>
      <c r="AC67" s="2531"/>
      <c r="AD67" s="2531"/>
      <c r="AE67" s="2531"/>
      <c r="AF67" s="2531"/>
      <c r="AG67" s="2531"/>
      <c r="AH67" s="2531"/>
      <c r="AI67" s="2531"/>
      <c r="AJ67" s="2531"/>
      <c r="AK67" s="2531"/>
      <c r="AL67" s="2531"/>
      <c r="AM67" s="2552"/>
      <c r="AN67" s="2217"/>
      <c r="AO67" s="2183"/>
    </row>
    <row r="68" spans="1:41" ht="42" customHeight="1" x14ac:dyDescent="0.25">
      <c r="A68" s="1502"/>
      <c r="C68" s="1503"/>
      <c r="G68" s="2524"/>
      <c r="H68" s="2527"/>
      <c r="I68" s="2529"/>
      <c r="J68" s="2269"/>
      <c r="K68" s="2197"/>
      <c r="L68" s="2261"/>
      <c r="M68" s="2263"/>
      <c r="N68" s="2263"/>
      <c r="O68" s="2534"/>
      <c r="P68" s="2537"/>
      <c r="Q68" s="2261"/>
      <c r="R68" s="2540"/>
      <c r="S68" s="1544" t="s">
        <v>1390</v>
      </c>
      <c r="T68" s="1546">
        <v>15000000</v>
      </c>
      <c r="U68" s="1290">
        <v>20</v>
      </c>
      <c r="V68" s="1658" t="s">
        <v>108</v>
      </c>
      <c r="W68" s="2531"/>
      <c r="X68" s="1325"/>
      <c r="Y68" s="2531"/>
      <c r="Z68" s="2531"/>
      <c r="AA68" s="2531"/>
      <c r="AB68" s="2531"/>
      <c r="AC68" s="2531"/>
      <c r="AD68" s="2531"/>
      <c r="AE68" s="2531"/>
      <c r="AF68" s="2531"/>
      <c r="AG68" s="2531"/>
      <c r="AH68" s="2531"/>
      <c r="AI68" s="2531"/>
      <c r="AJ68" s="2531"/>
      <c r="AK68" s="2531"/>
      <c r="AL68" s="2531"/>
      <c r="AM68" s="2552"/>
      <c r="AN68" s="2217"/>
      <c r="AO68" s="2183"/>
    </row>
    <row r="69" spans="1:41" ht="74.25" customHeight="1" x14ac:dyDescent="0.25">
      <c r="A69" s="1502"/>
      <c r="C69" s="1503"/>
      <c r="G69" s="2524"/>
      <c r="H69" s="2527"/>
      <c r="I69" s="2529"/>
      <c r="J69" s="2269"/>
      <c r="K69" s="2197"/>
      <c r="L69" s="2261"/>
      <c r="M69" s="2263"/>
      <c r="N69" s="2263"/>
      <c r="O69" s="2534"/>
      <c r="P69" s="2537"/>
      <c r="Q69" s="2261"/>
      <c r="R69" s="2540"/>
      <c r="S69" s="1547" t="s">
        <v>1391</v>
      </c>
      <c r="T69" s="1548">
        <v>15762000</v>
      </c>
      <c r="U69" s="98">
        <v>20</v>
      </c>
      <c r="V69" s="1658" t="s">
        <v>108</v>
      </c>
      <c r="W69" s="2531"/>
      <c r="X69" s="1325"/>
      <c r="Y69" s="2531"/>
      <c r="Z69" s="2531"/>
      <c r="AA69" s="2531"/>
      <c r="AB69" s="2531"/>
      <c r="AC69" s="2531"/>
      <c r="AD69" s="2531"/>
      <c r="AE69" s="2531"/>
      <c r="AF69" s="2531"/>
      <c r="AG69" s="2531"/>
      <c r="AH69" s="2531"/>
      <c r="AI69" s="2531"/>
      <c r="AJ69" s="2531"/>
      <c r="AK69" s="2531"/>
      <c r="AL69" s="2531"/>
      <c r="AM69" s="2552"/>
      <c r="AN69" s="2217"/>
      <c r="AO69" s="2183"/>
    </row>
    <row r="70" spans="1:41" ht="79.900000000000006" customHeight="1" x14ac:dyDescent="0.25">
      <c r="A70" s="1502"/>
      <c r="C70" s="1503"/>
      <c r="G70" s="2524"/>
      <c r="H70" s="2527"/>
      <c r="I70" s="2529"/>
      <c r="J70" s="2269"/>
      <c r="K70" s="2197"/>
      <c r="L70" s="2261"/>
      <c r="M70" s="2263"/>
      <c r="N70" s="2263"/>
      <c r="O70" s="2534"/>
      <c r="P70" s="2537"/>
      <c r="Q70" s="2261"/>
      <c r="R70" s="2540"/>
      <c r="S70" s="1547" t="s">
        <v>1357</v>
      </c>
      <c r="T70" s="1548">
        <v>7166000</v>
      </c>
      <c r="U70" s="98">
        <v>20</v>
      </c>
      <c r="V70" s="1658" t="s">
        <v>108</v>
      </c>
      <c r="W70" s="2531"/>
      <c r="X70" s="1325"/>
      <c r="Y70" s="2531"/>
      <c r="Z70" s="2531"/>
      <c r="AA70" s="2531"/>
      <c r="AB70" s="2531"/>
      <c r="AC70" s="2531"/>
      <c r="AD70" s="2531"/>
      <c r="AE70" s="2531"/>
      <c r="AF70" s="2531"/>
      <c r="AG70" s="2531"/>
      <c r="AH70" s="2531"/>
      <c r="AI70" s="2531"/>
      <c r="AJ70" s="2531"/>
      <c r="AK70" s="2531"/>
      <c r="AL70" s="2531"/>
      <c r="AM70" s="2552"/>
      <c r="AN70" s="2217"/>
      <c r="AO70" s="2183"/>
    </row>
    <row r="71" spans="1:41" ht="84" customHeight="1" x14ac:dyDescent="0.25">
      <c r="A71" s="1502"/>
      <c r="C71" s="1503"/>
      <c r="G71" s="2524"/>
      <c r="H71" s="2527"/>
      <c r="I71" s="2529"/>
      <c r="J71" s="2269"/>
      <c r="K71" s="2197"/>
      <c r="L71" s="2261"/>
      <c r="M71" s="2263"/>
      <c r="N71" s="2263"/>
      <c r="O71" s="2534"/>
      <c r="P71" s="2537"/>
      <c r="Q71" s="2261"/>
      <c r="R71" s="2540"/>
      <c r="S71" s="1547" t="s">
        <v>1335</v>
      </c>
      <c r="T71" s="1548">
        <v>15429333</v>
      </c>
      <c r="U71" s="98">
        <v>20</v>
      </c>
      <c r="V71" s="1658" t="s">
        <v>108</v>
      </c>
      <c r="W71" s="2531"/>
      <c r="X71" s="1325"/>
      <c r="Y71" s="2531"/>
      <c r="Z71" s="2531"/>
      <c r="AA71" s="2531"/>
      <c r="AB71" s="2531"/>
      <c r="AC71" s="2531"/>
      <c r="AD71" s="2531"/>
      <c r="AE71" s="2531"/>
      <c r="AF71" s="2531"/>
      <c r="AG71" s="2531"/>
      <c r="AH71" s="2531"/>
      <c r="AI71" s="2531"/>
      <c r="AJ71" s="2531"/>
      <c r="AK71" s="2531"/>
      <c r="AL71" s="2531"/>
      <c r="AM71" s="2552"/>
      <c r="AN71" s="2217"/>
      <c r="AO71" s="2183"/>
    </row>
    <row r="72" spans="1:41" ht="85.15" customHeight="1" x14ac:dyDescent="0.25">
      <c r="A72" s="1502"/>
      <c r="C72" s="1503"/>
      <c r="G72" s="2524"/>
      <c r="H72" s="2527"/>
      <c r="I72" s="2529"/>
      <c r="J72" s="2269"/>
      <c r="K72" s="2197"/>
      <c r="L72" s="2261"/>
      <c r="M72" s="2263"/>
      <c r="N72" s="2263"/>
      <c r="O72" s="2534"/>
      <c r="P72" s="2537"/>
      <c r="Q72" s="2261"/>
      <c r="R72" s="2540"/>
      <c r="S72" s="1544" t="s">
        <v>1392</v>
      </c>
      <c r="T72" s="1549">
        <v>20833333</v>
      </c>
      <c r="U72" s="1290">
        <v>20</v>
      </c>
      <c r="V72" s="1658" t="s">
        <v>108</v>
      </c>
      <c r="W72" s="2531"/>
      <c r="X72" s="1325"/>
      <c r="Y72" s="2531"/>
      <c r="Z72" s="2531"/>
      <c r="AA72" s="2531"/>
      <c r="AB72" s="2531"/>
      <c r="AC72" s="2531"/>
      <c r="AD72" s="2531"/>
      <c r="AE72" s="2531"/>
      <c r="AF72" s="2531"/>
      <c r="AG72" s="2531"/>
      <c r="AH72" s="2531"/>
      <c r="AI72" s="2531"/>
      <c r="AJ72" s="2531"/>
      <c r="AK72" s="2531"/>
      <c r="AL72" s="2531"/>
      <c r="AM72" s="2552"/>
      <c r="AN72" s="2217"/>
      <c r="AO72" s="2183"/>
    </row>
    <row r="73" spans="1:41" ht="51.75" customHeight="1" x14ac:dyDescent="0.25">
      <c r="A73" s="1502"/>
      <c r="C73" s="1503"/>
      <c r="G73" s="2524"/>
      <c r="H73" s="2527"/>
      <c r="I73" s="2529"/>
      <c r="J73" s="2269"/>
      <c r="K73" s="2197"/>
      <c r="L73" s="2261"/>
      <c r="M73" s="2263"/>
      <c r="N73" s="2263"/>
      <c r="O73" s="2534"/>
      <c r="P73" s="2537"/>
      <c r="Q73" s="2261"/>
      <c r="R73" s="2540"/>
      <c r="S73" s="1544" t="s">
        <v>1393</v>
      </c>
      <c r="T73" s="1545">
        <v>45045333</v>
      </c>
      <c r="U73" s="1290">
        <v>23</v>
      </c>
      <c r="V73" s="1658" t="s">
        <v>1710</v>
      </c>
      <c r="W73" s="2531"/>
      <c r="X73" s="1325"/>
      <c r="Y73" s="2531"/>
      <c r="Z73" s="2531"/>
      <c r="AA73" s="2531"/>
      <c r="AB73" s="2531"/>
      <c r="AC73" s="2531"/>
      <c r="AD73" s="2531"/>
      <c r="AE73" s="2531"/>
      <c r="AF73" s="2531"/>
      <c r="AG73" s="2531"/>
      <c r="AH73" s="2531"/>
      <c r="AI73" s="2531"/>
      <c r="AJ73" s="2531"/>
      <c r="AK73" s="2531"/>
      <c r="AL73" s="2531"/>
      <c r="AM73" s="2552"/>
      <c r="AN73" s="2217"/>
      <c r="AO73" s="2183"/>
    </row>
    <row r="74" spans="1:41" ht="51.75" customHeight="1" x14ac:dyDescent="0.25">
      <c r="A74" s="1502"/>
      <c r="C74" s="1503"/>
      <c r="G74" s="2524"/>
      <c r="H74" s="2527"/>
      <c r="I74" s="2529"/>
      <c r="J74" s="2269"/>
      <c r="K74" s="2197"/>
      <c r="L74" s="2261"/>
      <c r="M74" s="2263"/>
      <c r="N74" s="2263"/>
      <c r="O74" s="2534"/>
      <c r="P74" s="2537"/>
      <c r="Q74" s="2261"/>
      <c r="R74" s="2540"/>
      <c r="S74" s="1544" t="s">
        <v>1394</v>
      </c>
      <c r="T74" s="1545">
        <v>37700000</v>
      </c>
      <c r="U74" s="1290">
        <v>23</v>
      </c>
      <c r="V74" s="1658" t="s">
        <v>1710</v>
      </c>
      <c r="W74" s="2531"/>
      <c r="X74" s="1325"/>
      <c r="Y74" s="2531"/>
      <c r="Z74" s="2531"/>
      <c r="AA74" s="2531"/>
      <c r="AB74" s="2531"/>
      <c r="AC74" s="2531"/>
      <c r="AD74" s="2531"/>
      <c r="AE74" s="2531"/>
      <c r="AF74" s="2531"/>
      <c r="AG74" s="2531"/>
      <c r="AH74" s="2531"/>
      <c r="AI74" s="2531"/>
      <c r="AJ74" s="2531"/>
      <c r="AK74" s="2531"/>
      <c r="AL74" s="2531"/>
      <c r="AM74" s="2552"/>
      <c r="AN74" s="2217"/>
      <c r="AO74" s="2183"/>
    </row>
    <row r="75" spans="1:41" ht="60.75" customHeight="1" x14ac:dyDescent="0.25">
      <c r="A75" s="1502"/>
      <c r="C75" s="1503"/>
      <c r="G75" s="2524"/>
      <c r="H75" s="2527"/>
      <c r="I75" s="2529"/>
      <c r="J75" s="2269"/>
      <c r="K75" s="2197"/>
      <c r="L75" s="2261"/>
      <c r="M75" s="2263"/>
      <c r="N75" s="2263"/>
      <c r="O75" s="2534"/>
      <c r="P75" s="2537"/>
      <c r="Q75" s="2261"/>
      <c r="R75" s="2540"/>
      <c r="S75" s="1544" t="s">
        <v>1395</v>
      </c>
      <c r="T75" s="1546">
        <v>4533333</v>
      </c>
      <c r="U75" s="1550">
        <v>23</v>
      </c>
      <c r="V75" s="1658" t="s">
        <v>1710</v>
      </c>
      <c r="W75" s="2531"/>
      <c r="X75" s="1325"/>
      <c r="Y75" s="2531"/>
      <c r="Z75" s="2531"/>
      <c r="AA75" s="2531"/>
      <c r="AB75" s="2531"/>
      <c r="AC75" s="2531"/>
      <c r="AD75" s="2531"/>
      <c r="AE75" s="2531"/>
      <c r="AF75" s="2531"/>
      <c r="AG75" s="2531"/>
      <c r="AH75" s="2531"/>
      <c r="AI75" s="2531"/>
      <c r="AJ75" s="2531"/>
      <c r="AK75" s="2531"/>
      <c r="AL75" s="2531"/>
      <c r="AM75" s="2552"/>
      <c r="AN75" s="2217"/>
      <c r="AO75" s="2183"/>
    </row>
    <row r="76" spans="1:41" ht="60.75" customHeight="1" x14ac:dyDescent="0.25">
      <c r="A76" s="1502"/>
      <c r="C76" s="1503"/>
      <c r="G76" s="2524"/>
      <c r="H76" s="2527"/>
      <c r="I76" s="2529"/>
      <c r="J76" s="2269"/>
      <c r="K76" s="2197"/>
      <c r="L76" s="2261"/>
      <c r="M76" s="2263"/>
      <c r="N76" s="2263"/>
      <c r="O76" s="2534"/>
      <c r="P76" s="2537"/>
      <c r="Q76" s="2261"/>
      <c r="R76" s="2540"/>
      <c r="S76" s="2542" t="s">
        <v>1396</v>
      </c>
      <c r="T76" s="1548">
        <v>68036433</v>
      </c>
      <c r="U76" s="1291">
        <v>88</v>
      </c>
      <c r="V76" s="1662" t="s">
        <v>227</v>
      </c>
      <c r="W76" s="2554"/>
      <c r="X76" s="1325"/>
      <c r="Y76" s="2531"/>
      <c r="Z76" s="2531"/>
      <c r="AA76" s="2531"/>
      <c r="AB76" s="2531"/>
      <c r="AC76" s="2531"/>
      <c r="AD76" s="2531"/>
      <c r="AE76" s="2531"/>
      <c r="AF76" s="2531"/>
      <c r="AG76" s="2531"/>
      <c r="AH76" s="2531"/>
      <c r="AI76" s="2531"/>
      <c r="AJ76" s="2531"/>
      <c r="AK76" s="2531"/>
      <c r="AL76" s="2531"/>
      <c r="AM76" s="2552"/>
      <c r="AN76" s="2217"/>
      <c r="AO76" s="2183"/>
    </row>
    <row r="77" spans="1:41" ht="58.5" customHeight="1" x14ac:dyDescent="0.25">
      <c r="A77" s="1502"/>
      <c r="C77" s="1503"/>
      <c r="G77" s="2524"/>
      <c r="H77" s="2527"/>
      <c r="I77" s="2529"/>
      <c r="J77" s="2269"/>
      <c r="K77" s="2197"/>
      <c r="L77" s="2261"/>
      <c r="M77" s="2263"/>
      <c r="N77" s="2263"/>
      <c r="O77" s="2534"/>
      <c r="P77" s="2537"/>
      <c r="Q77" s="2261"/>
      <c r="R77" s="2540"/>
      <c r="S77" s="2543"/>
      <c r="T77" s="1512">
        <v>11602334</v>
      </c>
      <c r="U77" s="1291">
        <v>20</v>
      </c>
      <c r="V77" s="1304" t="s">
        <v>108</v>
      </c>
      <c r="W77" s="2554"/>
      <c r="X77" s="1325"/>
      <c r="Y77" s="2531"/>
      <c r="Z77" s="2531"/>
      <c r="AA77" s="2531"/>
      <c r="AB77" s="2531"/>
      <c r="AC77" s="2531"/>
      <c r="AD77" s="2531"/>
      <c r="AE77" s="2531"/>
      <c r="AF77" s="2531"/>
      <c r="AG77" s="2531"/>
      <c r="AH77" s="2531"/>
      <c r="AI77" s="2531"/>
      <c r="AJ77" s="2531"/>
      <c r="AK77" s="2531"/>
      <c r="AL77" s="2531"/>
      <c r="AM77" s="2552"/>
      <c r="AN77" s="2217"/>
      <c r="AO77" s="2183"/>
    </row>
    <row r="78" spans="1:41" ht="60" customHeight="1" x14ac:dyDescent="0.25">
      <c r="A78" s="1502"/>
      <c r="C78" s="1503"/>
      <c r="G78" s="2524"/>
      <c r="H78" s="2527"/>
      <c r="I78" s="2529"/>
      <c r="J78" s="2269"/>
      <c r="K78" s="2197"/>
      <c r="L78" s="2261"/>
      <c r="M78" s="2263"/>
      <c r="N78" s="2263"/>
      <c r="O78" s="2534"/>
      <c r="P78" s="2537"/>
      <c r="Q78" s="2261"/>
      <c r="R78" s="2540"/>
      <c r="S78" s="2544"/>
      <c r="T78" s="1551">
        <v>12025411.939999999</v>
      </c>
      <c r="U78" s="1552">
        <v>89</v>
      </c>
      <c r="V78" s="1553" t="s">
        <v>1712</v>
      </c>
      <c r="W78" s="2531"/>
      <c r="X78" s="1325"/>
      <c r="Y78" s="2531"/>
      <c r="Z78" s="2531"/>
      <c r="AA78" s="2531"/>
      <c r="AB78" s="2531"/>
      <c r="AC78" s="2531"/>
      <c r="AD78" s="2531"/>
      <c r="AE78" s="2531"/>
      <c r="AF78" s="2531"/>
      <c r="AG78" s="2531"/>
      <c r="AH78" s="2531"/>
      <c r="AI78" s="2531"/>
      <c r="AJ78" s="2531"/>
      <c r="AK78" s="2531"/>
      <c r="AL78" s="2531"/>
      <c r="AM78" s="2552"/>
      <c r="AN78" s="2217"/>
      <c r="AO78" s="2183"/>
    </row>
    <row r="79" spans="1:41" ht="53.25" customHeight="1" x14ac:dyDescent="0.25">
      <c r="A79" s="1502"/>
      <c r="C79" s="1503"/>
      <c r="G79" s="2524"/>
      <c r="H79" s="2527"/>
      <c r="I79" s="2529"/>
      <c r="J79" s="2269"/>
      <c r="K79" s="2197"/>
      <c r="L79" s="2261"/>
      <c r="M79" s="2263"/>
      <c r="N79" s="2263"/>
      <c r="O79" s="2534"/>
      <c r="P79" s="2537"/>
      <c r="Q79" s="2261"/>
      <c r="R79" s="2540"/>
      <c r="S79" s="1300" t="s">
        <v>1397</v>
      </c>
      <c r="T79" s="1545">
        <v>288328336</v>
      </c>
      <c r="U79" s="1290">
        <v>88</v>
      </c>
      <c r="V79" s="1662" t="s">
        <v>227</v>
      </c>
      <c r="W79" s="2531"/>
      <c r="X79" s="1325"/>
      <c r="Y79" s="2531"/>
      <c r="Z79" s="2531"/>
      <c r="AA79" s="2531"/>
      <c r="AB79" s="2531"/>
      <c r="AC79" s="2531"/>
      <c r="AD79" s="2531"/>
      <c r="AE79" s="2531"/>
      <c r="AF79" s="2531"/>
      <c r="AG79" s="2531"/>
      <c r="AH79" s="2531"/>
      <c r="AI79" s="2531"/>
      <c r="AJ79" s="2531"/>
      <c r="AK79" s="2531"/>
      <c r="AL79" s="2531"/>
      <c r="AM79" s="2552"/>
      <c r="AN79" s="2217"/>
      <c r="AO79" s="2183"/>
    </row>
    <row r="80" spans="1:41" ht="53.25" customHeight="1" x14ac:dyDescent="0.25">
      <c r="A80" s="1502"/>
      <c r="C80" s="1503"/>
      <c r="G80" s="2524"/>
      <c r="H80" s="2527"/>
      <c r="I80" s="2529"/>
      <c r="J80" s="2269"/>
      <c r="K80" s="2197"/>
      <c r="L80" s="2261"/>
      <c r="M80" s="2263"/>
      <c r="N80" s="2263"/>
      <c r="O80" s="2534"/>
      <c r="P80" s="2537"/>
      <c r="Q80" s="2261"/>
      <c r="R80" s="2540"/>
      <c r="S80" s="1300" t="s">
        <v>1398</v>
      </c>
      <c r="T80" s="1554">
        <v>100000000</v>
      </c>
      <c r="U80" s="1290">
        <v>20</v>
      </c>
      <c r="V80" s="1298" t="s">
        <v>108</v>
      </c>
      <c r="W80" s="2531"/>
      <c r="X80" s="1325"/>
      <c r="Y80" s="2531"/>
      <c r="Z80" s="2531"/>
      <c r="AA80" s="2531"/>
      <c r="AB80" s="2531"/>
      <c r="AC80" s="2531"/>
      <c r="AD80" s="2531"/>
      <c r="AE80" s="2531"/>
      <c r="AF80" s="2531"/>
      <c r="AG80" s="2531"/>
      <c r="AH80" s="2531"/>
      <c r="AI80" s="2531"/>
      <c r="AJ80" s="2531"/>
      <c r="AK80" s="2531"/>
      <c r="AL80" s="2531"/>
      <c r="AM80" s="2552"/>
      <c r="AN80" s="2217"/>
      <c r="AO80" s="2183"/>
    </row>
    <row r="81" spans="1:41" ht="107.25" customHeight="1" x14ac:dyDescent="0.25">
      <c r="A81" s="1502"/>
      <c r="C81" s="1503"/>
      <c r="G81" s="2524"/>
      <c r="H81" s="2527"/>
      <c r="I81" s="2529"/>
      <c r="J81" s="2269"/>
      <c r="K81" s="2197"/>
      <c r="L81" s="2261"/>
      <c r="M81" s="2263"/>
      <c r="N81" s="2263"/>
      <c r="O81" s="2534"/>
      <c r="P81" s="2537"/>
      <c r="Q81" s="2261"/>
      <c r="R81" s="2540"/>
      <c r="S81" s="2545" t="s">
        <v>1399</v>
      </c>
      <c r="T81" s="1545">
        <v>200000</v>
      </c>
      <c r="U81" s="1290">
        <v>20</v>
      </c>
      <c r="V81" s="1298" t="s">
        <v>108</v>
      </c>
      <c r="W81" s="2531"/>
      <c r="X81" s="1325"/>
      <c r="Y81" s="2531"/>
      <c r="Z81" s="2531"/>
      <c r="AA81" s="2531"/>
      <c r="AB81" s="2531"/>
      <c r="AC81" s="2531"/>
      <c r="AD81" s="2531"/>
      <c r="AE81" s="2531"/>
      <c r="AF81" s="2531"/>
      <c r="AG81" s="2531"/>
      <c r="AH81" s="2531"/>
      <c r="AI81" s="2531"/>
      <c r="AJ81" s="2531"/>
      <c r="AK81" s="2531"/>
      <c r="AL81" s="2531"/>
      <c r="AM81" s="2552"/>
      <c r="AN81" s="2217"/>
      <c r="AO81" s="2183"/>
    </row>
    <row r="82" spans="1:41" ht="107.25" customHeight="1" x14ac:dyDescent="0.25">
      <c r="A82" s="1502"/>
      <c r="C82" s="1503"/>
      <c r="G82" s="2524"/>
      <c r="H82" s="2527"/>
      <c r="I82" s="2529"/>
      <c r="J82" s="2269"/>
      <c r="K82" s="2197"/>
      <c r="L82" s="2261"/>
      <c r="M82" s="2263"/>
      <c r="N82" s="2263"/>
      <c r="O82" s="2534"/>
      <c r="P82" s="2537"/>
      <c r="Q82" s="2261"/>
      <c r="R82" s="2540"/>
      <c r="S82" s="2546"/>
      <c r="T82" s="1545">
        <v>2700000</v>
      </c>
      <c r="U82" s="1290">
        <v>88</v>
      </c>
      <c r="V82" s="1662" t="s">
        <v>227</v>
      </c>
      <c r="W82" s="2531"/>
      <c r="X82" s="1325"/>
      <c r="Y82" s="2531"/>
      <c r="Z82" s="2531"/>
      <c r="AA82" s="2531"/>
      <c r="AB82" s="2531"/>
      <c r="AC82" s="2531"/>
      <c r="AD82" s="2531"/>
      <c r="AE82" s="2531"/>
      <c r="AF82" s="2531"/>
      <c r="AG82" s="2531"/>
      <c r="AH82" s="2531"/>
      <c r="AI82" s="2531"/>
      <c r="AJ82" s="2531"/>
      <c r="AK82" s="2531"/>
      <c r="AL82" s="2531"/>
      <c r="AM82" s="2552"/>
      <c r="AN82" s="2217"/>
      <c r="AO82" s="2183"/>
    </row>
    <row r="83" spans="1:41" ht="107.25" customHeight="1" x14ac:dyDescent="0.25">
      <c r="A83" s="1502"/>
      <c r="C83" s="1503"/>
      <c r="G83" s="2524"/>
      <c r="H83" s="2527"/>
      <c r="I83" s="2529"/>
      <c r="J83" s="2269"/>
      <c r="K83" s="2197"/>
      <c r="L83" s="2261"/>
      <c r="M83" s="2263"/>
      <c r="N83" s="2263"/>
      <c r="O83" s="2534"/>
      <c r="P83" s="2537"/>
      <c r="Q83" s="2261"/>
      <c r="R83" s="2540"/>
      <c r="S83" s="1555" t="s">
        <v>1397</v>
      </c>
      <c r="T83" s="1545">
        <v>0</v>
      </c>
      <c r="U83" s="1290">
        <v>88</v>
      </c>
      <c r="V83" s="1662" t="s">
        <v>227</v>
      </c>
      <c r="W83" s="2531"/>
      <c r="X83" s="1325"/>
      <c r="Y83" s="2531"/>
      <c r="Z83" s="2531"/>
      <c r="AA83" s="2531"/>
      <c r="AB83" s="2531"/>
      <c r="AC83" s="2531"/>
      <c r="AD83" s="2531"/>
      <c r="AE83" s="2531"/>
      <c r="AF83" s="2531"/>
      <c r="AG83" s="2531"/>
      <c r="AH83" s="2531"/>
      <c r="AI83" s="2531"/>
      <c r="AJ83" s="2531"/>
      <c r="AK83" s="2531"/>
      <c r="AL83" s="2531"/>
      <c r="AM83" s="2552"/>
      <c r="AN83" s="2217"/>
      <c r="AO83" s="2183"/>
    </row>
    <row r="84" spans="1:41" ht="107.25" customHeight="1" x14ac:dyDescent="0.25">
      <c r="A84" s="1502"/>
      <c r="C84" s="1503"/>
      <c r="G84" s="2524"/>
      <c r="H84" s="2527"/>
      <c r="I84" s="2529"/>
      <c r="J84" s="2269"/>
      <c r="K84" s="2197"/>
      <c r="L84" s="2261"/>
      <c r="M84" s="2263"/>
      <c r="N84" s="2263"/>
      <c r="O84" s="2534"/>
      <c r="P84" s="2537"/>
      <c r="Q84" s="2261"/>
      <c r="R84" s="2540"/>
      <c r="S84" s="2547" t="s">
        <v>1336</v>
      </c>
      <c r="T84" s="1546">
        <v>200000</v>
      </c>
      <c r="U84" s="1550">
        <v>20</v>
      </c>
      <c r="V84" s="1368" t="s">
        <v>108</v>
      </c>
      <c r="W84" s="2531"/>
      <c r="X84" s="1325"/>
      <c r="Y84" s="2531"/>
      <c r="Z84" s="2531"/>
      <c r="AA84" s="2531"/>
      <c r="AB84" s="2531"/>
      <c r="AC84" s="2531"/>
      <c r="AD84" s="2531"/>
      <c r="AE84" s="2531"/>
      <c r="AF84" s="2531"/>
      <c r="AG84" s="2531"/>
      <c r="AH84" s="2531"/>
      <c r="AI84" s="2531"/>
      <c r="AJ84" s="2531"/>
      <c r="AK84" s="2531"/>
      <c r="AL84" s="2531"/>
      <c r="AM84" s="2552"/>
      <c r="AN84" s="2217"/>
      <c r="AO84" s="2183"/>
    </row>
    <row r="85" spans="1:41" ht="98.25" customHeight="1" x14ac:dyDescent="0.25">
      <c r="A85" s="1502"/>
      <c r="C85" s="1503"/>
      <c r="G85" s="2525"/>
      <c r="H85" s="2527"/>
      <c r="I85" s="2529"/>
      <c r="J85" s="2269"/>
      <c r="K85" s="2197"/>
      <c r="L85" s="2261"/>
      <c r="M85" s="2263"/>
      <c r="N85" s="2263"/>
      <c r="O85" s="2534"/>
      <c r="P85" s="2537"/>
      <c r="Q85" s="2261"/>
      <c r="R85" s="2540"/>
      <c r="S85" s="2548"/>
      <c r="T85" s="1556">
        <v>3113767</v>
      </c>
      <c r="U85" s="118">
        <v>88</v>
      </c>
      <c r="V85" s="1662" t="s">
        <v>227</v>
      </c>
      <c r="W85" s="2555"/>
      <c r="X85" s="1326">
        <v>285580</v>
      </c>
      <c r="Y85" s="2532">
        <v>135545</v>
      </c>
      <c r="Z85" s="2532">
        <v>44254</v>
      </c>
      <c r="AA85" s="2532">
        <v>309146</v>
      </c>
      <c r="AB85" s="2532">
        <v>92607</v>
      </c>
      <c r="AC85" s="2532">
        <v>2145</v>
      </c>
      <c r="AD85" s="2532">
        <v>12718</v>
      </c>
      <c r="AE85" s="2532">
        <v>26</v>
      </c>
      <c r="AF85" s="2532">
        <v>37</v>
      </c>
      <c r="AG85" s="2532">
        <v>0</v>
      </c>
      <c r="AH85" s="2532">
        <v>0</v>
      </c>
      <c r="AI85" s="2532">
        <v>44350</v>
      </c>
      <c r="AJ85" s="2532">
        <v>21944</v>
      </c>
      <c r="AK85" s="2532">
        <v>75687</v>
      </c>
      <c r="AL85" s="2532">
        <f>SUM(Y85:AB85)</f>
        <v>581552</v>
      </c>
      <c r="AM85" s="2553"/>
      <c r="AN85" s="2292"/>
      <c r="AO85" s="2492"/>
    </row>
    <row r="86" spans="1:41" ht="98.25" customHeight="1" x14ac:dyDescent="0.25">
      <c r="A86" s="1502"/>
      <c r="C86" s="1503"/>
      <c r="G86" s="1557" t="s">
        <v>52</v>
      </c>
      <c r="H86" s="1557" t="s">
        <v>1400</v>
      </c>
      <c r="I86" s="1558" t="s">
        <v>1401</v>
      </c>
      <c r="J86" s="1301" t="s">
        <v>1402</v>
      </c>
      <c r="K86" s="1327">
        <v>1</v>
      </c>
      <c r="L86" s="1304" t="s">
        <v>1403</v>
      </c>
      <c r="M86" s="2263"/>
      <c r="N86" s="2263"/>
      <c r="O86" s="2535"/>
      <c r="P86" s="2538"/>
      <c r="Q86" s="2262"/>
      <c r="R86" s="2541"/>
      <c r="S86" s="1330" t="s">
        <v>1404</v>
      </c>
      <c r="T86" s="1556">
        <v>34000000</v>
      </c>
      <c r="U86" s="118">
        <v>88</v>
      </c>
      <c r="V86" s="1662" t="s">
        <v>227</v>
      </c>
      <c r="W86" s="1537"/>
      <c r="X86" s="1537"/>
      <c r="Y86" s="1537"/>
      <c r="Z86" s="1537"/>
      <c r="AA86" s="1537"/>
      <c r="AB86" s="1537"/>
      <c r="AC86" s="1537"/>
      <c r="AD86" s="1537"/>
      <c r="AE86" s="1537"/>
      <c r="AF86" s="1537"/>
      <c r="AG86" s="1537"/>
      <c r="AH86" s="1537"/>
      <c r="AI86" s="1537"/>
      <c r="AJ86" s="1537"/>
      <c r="AK86" s="1537"/>
      <c r="AL86" s="1537"/>
      <c r="AM86" s="1559"/>
      <c r="AN86" s="1560"/>
      <c r="AO86" s="1561"/>
    </row>
    <row r="87" spans="1:41" s="169" customFormat="1" ht="27" customHeight="1" x14ac:dyDescent="0.25">
      <c r="A87" s="34"/>
      <c r="B87" s="35"/>
      <c r="C87" s="1359"/>
      <c r="D87" s="1489">
        <v>21</v>
      </c>
      <c r="E87" s="211" t="s">
        <v>483</v>
      </c>
      <c r="F87" s="1490"/>
      <c r="G87" s="209"/>
      <c r="H87" s="209"/>
      <c r="I87" s="210"/>
      <c r="J87" s="210"/>
      <c r="K87" s="211"/>
      <c r="L87" s="1491"/>
      <c r="M87" s="1490"/>
      <c r="N87" s="210"/>
      <c r="O87" s="296"/>
      <c r="P87" s="1500"/>
      <c r="Q87" s="261"/>
      <c r="R87" s="261"/>
      <c r="S87" s="210"/>
      <c r="T87" s="1500"/>
      <c r="U87" s="1493"/>
      <c r="V87" s="1491"/>
      <c r="W87" s="262"/>
      <c r="X87" s="262"/>
      <c r="Y87" s="262"/>
      <c r="Z87" s="262"/>
      <c r="AA87" s="262"/>
      <c r="AB87" s="262"/>
      <c r="AC87" s="262"/>
      <c r="AD87" s="262"/>
      <c r="AE87" s="262"/>
      <c r="AF87" s="262"/>
      <c r="AG87" s="262"/>
      <c r="AH87" s="262"/>
      <c r="AI87" s="262"/>
      <c r="AJ87" s="262"/>
      <c r="AK87" s="262"/>
      <c r="AL87" s="262"/>
      <c r="AM87" s="269"/>
      <c r="AN87" s="269"/>
      <c r="AO87" s="1501"/>
    </row>
    <row r="88" spans="1:41" ht="131.25" customHeight="1" x14ac:dyDescent="0.25">
      <c r="A88" s="1502"/>
      <c r="C88" s="1503"/>
      <c r="D88" s="1505"/>
      <c r="E88" s="1505"/>
      <c r="F88" s="429"/>
      <c r="G88" s="1016">
        <v>3202033</v>
      </c>
      <c r="H88" s="1016" t="s">
        <v>1405</v>
      </c>
      <c r="I88" s="1300" t="s">
        <v>1406</v>
      </c>
      <c r="J88" s="1305" t="s">
        <v>1406</v>
      </c>
      <c r="K88" s="1327">
        <v>0.1</v>
      </c>
      <c r="L88" s="1126" t="s">
        <v>1407</v>
      </c>
      <c r="M88" s="1285" t="s">
        <v>1372</v>
      </c>
      <c r="N88" s="1286" t="s">
        <v>1379</v>
      </c>
      <c r="O88" s="1539">
        <f>(T88)/(+P60+P62+P88)</f>
        <v>0.25</v>
      </c>
      <c r="P88" s="1497">
        <f>+T88</f>
        <v>1000000</v>
      </c>
      <c r="Q88" s="1286" t="s">
        <v>1374</v>
      </c>
      <c r="R88" s="1286" t="s">
        <v>1375</v>
      </c>
      <c r="S88" s="1300" t="s">
        <v>1406</v>
      </c>
      <c r="T88" s="1498">
        <v>1000000</v>
      </c>
      <c r="U88" s="1411">
        <v>88</v>
      </c>
      <c r="V88" s="1662" t="s">
        <v>227</v>
      </c>
      <c r="W88" s="118">
        <v>295972</v>
      </c>
      <c r="X88" s="118">
        <v>294321</v>
      </c>
      <c r="Y88" s="118">
        <v>132302</v>
      </c>
      <c r="Z88" s="118">
        <v>43426</v>
      </c>
      <c r="AA88" s="118">
        <v>313940</v>
      </c>
      <c r="AB88" s="118">
        <v>100625</v>
      </c>
      <c r="AC88" s="118">
        <v>2145</v>
      </c>
      <c r="AD88" s="118">
        <v>12718</v>
      </c>
      <c r="AE88" s="118">
        <v>36</v>
      </c>
      <c r="AF88" s="118">
        <v>0</v>
      </c>
      <c r="AG88" s="118">
        <v>0</v>
      </c>
      <c r="AH88" s="118">
        <v>0</v>
      </c>
      <c r="AI88" s="118">
        <v>70</v>
      </c>
      <c r="AJ88" s="118">
        <v>21944</v>
      </c>
      <c r="AK88" s="118">
        <v>285</v>
      </c>
      <c r="AL88" s="118">
        <v>590292</v>
      </c>
      <c r="AM88" s="1279"/>
      <c r="AN88" s="1279"/>
      <c r="AO88" s="1303"/>
    </row>
    <row r="89" spans="1:41" s="169" customFormat="1" ht="27" customHeight="1" x14ac:dyDescent="0.25">
      <c r="A89" s="34"/>
      <c r="B89" s="35"/>
      <c r="C89" s="1359"/>
      <c r="D89" s="1489">
        <v>23</v>
      </c>
      <c r="E89" s="211" t="s">
        <v>543</v>
      </c>
      <c r="F89" s="1490"/>
      <c r="G89" s="209"/>
      <c r="H89" s="209"/>
      <c r="I89" s="210"/>
      <c r="J89" s="210"/>
      <c r="K89" s="211"/>
      <c r="L89" s="1491"/>
      <c r="M89" s="1490"/>
      <c r="N89" s="210"/>
      <c r="O89" s="296"/>
      <c r="P89" s="1500"/>
      <c r="Q89" s="261"/>
      <c r="R89" s="261"/>
      <c r="S89" s="210"/>
      <c r="T89" s="1500"/>
      <c r="U89" s="1515"/>
      <c r="V89" s="1516"/>
      <c r="W89" s="262"/>
      <c r="X89" s="262"/>
      <c r="Y89" s="262"/>
      <c r="Z89" s="262"/>
      <c r="AA89" s="262"/>
      <c r="AB89" s="262"/>
      <c r="AC89" s="262"/>
      <c r="AD89" s="262"/>
      <c r="AE89" s="262"/>
      <c r="AF89" s="262"/>
      <c r="AG89" s="262"/>
      <c r="AH89" s="262"/>
      <c r="AI89" s="262"/>
      <c r="AJ89" s="262"/>
      <c r="AK89" s="262"/>
      <c r="AL89" s="262"/>
      <c r="AM89" s="269"/>
      <c r="AN89" s="269"/>
      <c r="AO89" s="1501"/>
    </row>
    <row r="90" spans="1:41" ht="81" customHeight="1" x14ac:dyDescent="0.25">
      <c r="A90" s="1502"/>
      <c r="C90" s="1503"/>
      <c r="D90" s="1537"/>
      <c r="E90" s="1537"/>
      <c r="F90" s="1538"/>
      <c r="G90" s="1016">
        <v>3205021</v>
      </c>
      <c r="H90" s="1016" t="s">
        <v>1408</v>
      </c>
      <c r="I90" s="1300" t="s">
        <v>1409</v>
      </c>
      <c r="J90" s="1323" t="s">
        <v>1410</v>
      </c>
      <c r="K90" s="1322">
        <v>1</v>
      </c>
      <c r="L90" s="1293" t="s">
        <v>1707</v>
      </c>
      <c r="M90" s="1284" t="s">
        <v>1384</v>
      </c>
      <c r="N90" s="1333" t="s">
        <v>1385</v>
      </c>
      <c r="O90" s="1339">
        <f>P90/SUM(P65,P90)</f>
        <v>0.18135319574692313</v>
      </c>
      <c r="P90" s="1540">
        <f>SUM(T90)</f>
        <v>170360668</v>
      </c>
      <c r="Q90" s="1305" t="s">
        <v>1386</v>
      </c>
      <c r="R90" s="1323" t="s">
        <v>1387</v>
      </c>
      <c r="S90" s="1334" t="s">
        <v>1397</v>
      </c>
      <c r="T90" s="1607">
        <v>170360668</v>
      </c>
      <c r="U90" s="1411">
        <v>88</v>
      </c>
      <c r="V90" s="1662" t="s">
        <v>227</v>
      </c>
      <c r="W90" s="1673">
        <v>295972</v>
      </c>
      <c r="X90" s="1538">
        <v>285580</v>
      </c>
      <c r="Y90" s="1328">
        <v>135545</v>
      </c>
      <c r="Z90" s="1328">
        <v>44254</v>
      </c>
      <c r="AA90" s="1328">
        <v>309146</v>
      </c>
      <c r="AB90" s="1328">
        <v>92607</v>
      </c>
      <c r="AC90" s="1328">
        <v>2145</v>
      </c>
      <c r="AD90" s="1328">
        <v>12718</v>
      </c>
      <c r="AE90" s="1328">
        <v>26</v>
      </c>
      <c r="AF90" s="1328">
        <v>37</v>
      </c>
      <c r="AG90" s="1328">
        <v>0</v>
      </c>
      <c r="AH90" s="1328">
        <v>0</v>
      </c>
      <c r="AI90" s="1328">
        <v>44350</v>
      </c>
      <c r="AJ90" s="1328">
        <v>21944</v>
      </c>
      <c r="AK90" s="1328">
        <v>75687</v>
      </c>
      <c r="AL90" s="1328">
        <f>SUM(Y90:AB90)</f>
        <v>581552</v>
      </c>
      <c r="AM90" s="1562"/>
      <c r="AN90" s="1297"/>
      <c r="AO90" s="1287"/>
    </row>
    <row r="91" spans="1:41" s="169" customFormat="1" ht="27" customHeight="1" x14ac:dyDescent="0.25">
      <c r="A91" s="34"/>
      <c r="B91" s="35"/>
      <c r="C91" s="1359"/>
      <c r="D91" s="1530">
        <v>33</v>
      </c>
      <c r="E91" s="836" t="s">
        <v>590</v>
      </c>
      <c r="F91" s="1513"/>
      <c r="G91" s="835"/>
      <c r="H91" s="835"/>
      <c r="I91" s="208"/>
      <c r="J91" s="208"/>
      <c r="K91" s="677"/>
      <c r="L91" s="1563"/>
      <c r="M91" s="1513"/>
      <c r="N91" s="208"/>
      <c r="O91" s="215"/>
      <c r="P91" s="1514"/>
      <c r="Q91" s="303"/>
      <c r="R91" s="303"/>
      <c r="S91" s="208"/>
      <c r="T91" s="1564"/>
      <c r="U91" s="219"/>
      <c r="V91" s="1563"/>
      <c r="W91" s="1565"/>
      <c r="X91" s="262"/>
      <c r="Y91" s="262"/>
      <c r="Z91" s="262"/>
      <c r="AA91" s="262"/>
      <c r="AB91" s="262"/>
      <c r="AC91" s="262"/>
      <c r="AD91" s="262"/>
      <c r="AE91" s="262"/>
      <c r="AF91" s="262"/>
      <c r="AG91" s="262"/>
      <c r="AH91" s="262"/>
      <c r="AI91" s="262"/>
      <c r="AJ91" s="262"/>
      <c r="AK91" s="262"/>
      <c r="AL91" s="262"/>
      <c r="AM91" s="269"/>
      <c r="AN91" s="269"/>
      <c r="AO91" s="1501"/>
    </row>
    <row r="92" spans="1:41" ht="57.75" customHeight="1" x14ac:dyDescent="0.25">
      <c r="A92" s="1167"/>
      <c r="B92" s="1307"/>
      <c r="C92" s="1307"/>
      <c r="D92" s="1340"/>
      <c r="E92" s="1288"/>
      <c r="F92" s="1317"/>
      <c r="G92" s="2549">
        <v>4001015</v>
      </c>
      <c r="H92" s="2550" t="s">
        <v>1411</v>
      </c>
      <c r="I92" s="2247" t="s">
        <v>1412</v>
      </c>
      <c r="J92" s="2247" t="s">
        <v>1412</v>
      </c>
      <c r="K92" s="2473">
        <v>10</v>
      </c>
      <c r="L92" s="2323" t="s">
        <v>1413</v>
      </c>
      <c r="M92" s="2206" t="s">
        <v>1324</v>
      </c>
      <c r="N92" s="2247" t="s">
        <v>1325</v>
      </c>
      <c r="O92" s="2556">
        <f>P92/SUM(P16,P33,P37,P51,P92,P107,P110)</f>
        <v>6.6313951404563309E-2</v>
      </c>
      <c r="P92" s="2557">
        <f>SUM(T92:T95)</f>
        <v>129129296.87</v>
      </c>
      <c r="Q92" s="2560" t="s">
        <v>1326</v>
      </c>
      <c r="R92" s="2267" t="s">
        <v>1327</v>
      </c>
      <c r="S92" s="1312" t="s">
        <v>1414</v>
      </c>
      <c r="T92" s="1531">
        <f>100000000-85000000</f>
        <v>15000000</v>
      </c>
      <c r="U92" s="1257" t="s">
        <v>1176</v>
      </c>
      <c r="V92" s="1685" t="s">
        <v>1709</v>
      </c>
      <c r="W92" s="2472">
        <v>295972</v>
      </c>
      <c r="X92" s="2472">
        <v>285580</v>
      </c>
      <c r="Y92" s="2472">
        <v>135545</v>
      </c>
      <c r="Z92" s="2472">
        <v>44254</v>
      </c>
      <c r="AA92" s="2472">
        <v>309146</v>
      </c>
      <c r="AB92" s="2472">
        <v>92607</v>
      </c>
      <c r="AC92" s="2472">
        <v>2145</v>
      </c>
      <c r="AD92" s="2472">
        <v>12718</v>
      </c>
      <c r="AE92" s="2472">
        <v>26</v>
      </c>
      <c r="AF92" s="2472">
        <v>37</v>
      </c>
      <c r="AG92" s="2472">
        <v>0</v>
      </c>
      <c r="AH92" s="2472">
        <v>0</v>
      </c>
      <c r="AI92" s="2472">
        <v>44350</v>
      </c>
      <c r="AJ92" s="2472">
        <v>21944</v>
      </c>
      <c r="AK92" s="2472">
        <v>75687</v>
      </c>
      <c r="AL92" s="2472">
        <f>+W92+X92</f>
        <v>581552</v>
      </c>
      <c r="AM92" s="2521"/>
      <c r="AN92" s="2521"/>
      <c r="AO92" s="1566"/>
    </row>
    <row r="93" spans="1:41" ht="77.25" customHeight="1" x14ac:dyDescent="0.25">
      <c r="A93" s="1167"/>
      <c r="B93" s="1307"/>
      <c r="C93" s="1307"/>
      <c r="D93" s="1341"/>
      <c r="E93" s="1316"/>
      <c r="F93" s="1318"/>
      <c r="G93" s="2549"/>
      <c r="H93" s="2550"/>
      <c r="I93" s="2247"/>
      <c r="J93" s="2247"/>
      <c r="K93" s="2473"/>
      <c r="L93" s="2323"/>
      <c r="M93" s="2206"/>
      <c r="N93" s="2247"/>
      <c r="O93" s="2556"/>
      <c r="P93" s="2558"/>
      <c r="Q93" s="2560"/>
      <c r="R93" s="2267"/>
      <c r="S93" s="1312" t="s">
        <v>1415</v>
      </c>
      <c r="T93" s="1531">
        <f>100000000-85000000</f>
        <v>15000000</v>
      </c>
      <c r="U93" s="1257" t="s">
        <v>1176</v>
      </c>
      <c r="V93" s="1685" t="s">
        <v>1709</v>
      </c>
      <c r="W93" s="2472"/>
      <c r="X93" s="2472"/>
      <c r="Y93" s="2472"/>
      <c r="Z93" s="2472"/>
      <c r="AA93" s="2472"/>
      <c r="AB93" s="2472"/>
      <c r="AC93" s="2472"/>
      <c r="AD93" s="2472"/>
      <c r="AE93" s="2472"/>
      <c r="AF93" s="2472"/>
      <c r="AG93" s="2472"/>
      <c r="AH93" s="2472"/>
      <c r="AI93" s="2472"/>
      <c r="AJ93" s="2472"/>
      <c r="AK93" s="2472"/>
      <c r="AL93" s="2472"/>
      <c r="AM93" s="2522"/>
      <c r="AN93" s="2522"/>
      <c r="AO93" s="1567"/>
    </row>
    <row r="94" spans="1:41" ht="43.5" customHeight="1" x14ac:dyDescent="0.25">
      <c r="A94" s="1167"/>
      <c r="B94" s="1307"/>
      <c r="C94" s="1307"/>
      <c r="D94" s="1341"/>
      <c r="E94" s="1316"/>
      <c r="F94" s="1318"/>
      <c r="G94" s="2549"/>
      <c r="H94" s="2550"/>
      <c r="I94" s="2247"/>
      <c r="J94" s="2247"/>
      <c r="K94" s="2473"/>
      <c r="L94" s="2323"/>
      <c r="M94" s="2206"/>
      <c r="N94" s="2247"/>
      <c r="O94" s="2556"/>
      <c r="P94" s="2558"/>
      <c r="Q94" s="2560"/>
      <c r="R94" s="2267"/>
      <c r="S94" s="2562" t="s">
        <v>1349</v>
      </c>
      <c r="T94" s="1531">
        <v>3787990.66</v>
      </c>
      <c r="U94" s="61">
        <v>82</v>
      </c>
      <c r="V94" s="1685" t="s">
        <v>1711</v>
      </c>
      <c r="W94" s="2472"/>
      <c r="X94" s="2472"/>
      <c r="Y94" s="2472"/>
      <c r="Z94" s="2472"/>
      <c r="AA94" s="2472"/>
      <c r="AB94" s="2472"/>
      <c r="AC94" s="2472"/>
      <c r="AD94" s="2472"/>
      <c r="AE94" s="2472"/>
      <c r="AF94" s="2472"/>
      <c r="AG94" s="2472"/>
      <c r="AH94" s="2472"/>
      <c r="AI94" s="2472"/>
      <c r="AJ94" s="2472"/>
      <c r="AK94" s="2472"/>
      <c r="AL94" s="2472"/>
      <c r="AM94" s="2522"/>
      <c r="AN94" s="2522"/>
      <c r="AO94" s="1567"/>
    </row>
    <row r="95" spans="1:41" ht="43.5" customHeight="1" x14ac:dyDescent="0.25">
      <c r="A95" s="1502"/>
      <c r="D95" s="1568"/>
      <c r="E95" s="1537"/>
      <c r="F95" s="1538"/>
      <c r="G95" s="2549"/>
      <c r="H95" s="2550"/>
      <c r="I95" s="2247"/>
      <c r="J95" s="2247"/>
      <c r="K95" s="2473"/>
      <c r="L95" s="2323"/>
      <c r="M95" s="2206"/>
      <c r="N95" s="2247"/>
      <c r="O95" s="2556"/>
      <c r="P95" s="2559"/>
      <c r="Q95" s="2560"/>
      <c r="R95" s="2267"/>
      <c r="S95" s="2563"/>
      <c r="T95" s="1531">
        <f>228658294.21-133316988</f>
        <v>95341306.210000008</v>
      </c>
      <c r="U95" s="1257" t="s">
        <v>1176</v>
      </c>
      <c r="V95" s="1336" t="s">
        <v>1709</v>
      </c>
      <c r="W95" s="2472"/>
      <c r="X95" s="2472"/>
      <c r="Y95" s="2472"/>
      <c r="Z95" s="2472"/>
      <c r="AA95" s="2472"/>
      <c r="AB95" s="2472"/>
      <c r="AC95" s="2472"/>
      <c r="AD95" s="2472"/>
      <c r="AE95" s="2472"/>
      <c r="AF95" s="2472"/>
      <c r="AG95" s="2472"/>
      <c r="AH95" s="2472"/>
      <c r="AI95" s="2472"/>
      <c r="AJ95" s="2472"/>
      <c r="AK95" s="2472"/>
      <c r="AL95" s="2472"/>
      <c r="AM95" s="2523"/>
      <c r="AN95" s="2523"/>
      <c r="AO95" s="1569"/>
    </row>
    <row r="96" spans="1:41" s="169" customFormat="1" ht="27" customHeight="1" x14ac:dyDescent="0.25">
      <c r="A96" s="34"/>
      <c r="B96" s="35"/>
      <c r="C96" s="1359"/>
      <c r="D96" s="1570">
        <v>34</v>
      </c>
      <c r="E96" s="677" t="s">
        <v>1416</v>
      </c>
      <c r="F96" s="1571"/>
      <c r="G96" s="1520"/>
      <c r="H96" s="1520"/>
      <c r="I96" s="260"/>
      <c r="J96" s="260"/>
      <c r="K96" s="268"/>
      <c r="L96" s="1523"/>
      <c r="M96" s="965"/>
      <c r="N96" s="260"/>
      <c r="O96" s="1132"/>
      <c r="P96" s="1564"/>
      <c r="Q96" s="1131"/>
      <c r="R96" s="1131"/>
      <c r="S96" s="260"/>
      <c r="T96" s="1564"/>
      <c r="U96" s="219"/>
      <c r="V96" s="1523"/>
      <c r="W96" s="262"/>
      <c r="X96" s="262"/>
      <c r="Y96" s="262"/>
      <c r="Z96" s="262"/>
      <c r="AA96" s="262"/>
      <c r="AB96" s="262"/>
      <c r="AC96" s="262"/>
      <c r="AD96" s="262"/>
      <c r="AE96" s="262"/>
      <c r="AF96" s="262"/>
      <c r="AG96" s="262"/>
      <c r="AH96" s="262"/>
      <c r="AI96" s="262"/>
      <c r="AJ96" s="262"/>
      <c r="AK96" s="262"/>
      <c r="AL96" s="262"/>
      <c r="AM96" s="269"/>
      <c r="AN96" s="269"/>
      <c r="AO96" s="1501"/>
    </row>
    <row r="97" spans="1:59" ht="45.75" customHeight="1" x14ac:dyDescent="0.25">
      <c r="A97" s="1167"/>
      <c r="B97" s="1307"/>
      <c r="C97" s="1307"/>
      <c r="D97" s="1340"/>
      <c r="E97" s="1288"/>
      <c r="F97" s="1317"/>
      <c r="G97" s="2549" t="s">
        <v>52</v>
      </c>
      <c r="H97" s="2564" t="s">
        <v>1417</v>
      </c>
      <c r="I97" s="2303" t="s">
        <v>1418</v>
      </c>
      <c r="J97" s="2321" t="s">
        <v>1419</v>
      </c>
      <c r="K97" s="2565">
        <v>1</v>
      </c>
      <c r="L97" s="2567" t="s">
        <v>1420</v>
      </c>
      <c r="M97" s="2570" t="s">
        <v>1421</v>
      </c>
      <c r="N97" s="2573" t="s">
        <v>1422</v>
      </c>
      <c r="O97" s="2576">
        <f>SUM(T97:T98)/P97</f>
        <v>1.0395983925051906E-2</v>
      </c>
      <c r="P97" s="2594">
        <f>SUM(T97:T104)</f>
        <v>2885729741.0500002</v>
      </c>
      <c r="Q97" s="2208" t="s">
        <v>1423</v>
      </c>
      <c r="R97" s="2208" t="s">
        <v>1424</v>
      </c>
      <c r="S97" s="2583" t="s">
        <v>1418</v>
      </c>
      <c r="T97" s="1531">
        <v>10000000</v>
      </c>
      <c r="U97" s="61">
        <v>20</v>
      </c>
      <c r="V97" s="1572" t="s">
        <v>108</v>
      </c>
      <c r="W97" s="2561">
        <v>295972</v>
      </c>
      <c r="X97" s="2561">
        <v>294321</v>
      </c>
      <c r="Y97" s="2561">
        <v>132302</v>
      </c>
      <c r="Z97" s="2561">
        <v>43426</v>
      </c>
      <c r="AA97" s="2561">
        <v>313940</v>
      </c>
      <c r="AB97" s="2561">
        <v>100625</v>
      </c>
      <c r="AC97" s="2561">
        <v>2145</v>
      </c>
      <c r="AD97" s="2561">
        <v>12718</v>
      </c>
      <c r="AE97" s="2561">
        <v>36</v>
      </c>
      <c r="AF97" s="2561">
        <v>0</v>
      </c>
      <c r="AG97" s="2561">
        <v>0</v>
      </c>
      <c r="AH97" s="2561">
        <v>0</v>
      </c>
      <c r="AI97" s="2561">
        <v>70</v>
      </c>
      <c r="AJ97" s="2561">
        <v>21944</v>
      </c>
      <c r="AK97" s="2561">
        <v>75687</v>
      </c>
      <c r="AL97" s="2561">
        <v>581552</v>
      </c>
      <c r="AM97" s="2521"/>
      <c r="AN97" s="2521"/>
      <c r="AO97" s="2521"/>
    </row>
    <row r="98" spans="1:59" ht="47.25" customHeight="1" x14ac:dyDescent="0.25">
      <c r="A98" s="1502"/>
      <c r="D98" s="1469"/>
      <c r="F98" s="1503"/>
      <c r="G98" s="2549"/>
      <c r="H98" s="2564"/>
      <c r="I98" s="2303"/>
      <c r="J98" s="2320"/>
      <c r="K98" s="2566"/>
      <c r="L98" s="2568"/>
      <c r="M98" s="2571"/>
      <c r="N98" s="2574"/>
      <c r="O98" s="2576"/>
      <c r="P98" s="2595"/>
      <c r="Q98" s="2208"/>
      <c r="R98" s="2208"/>
      <c r="S98" s="2583"/>
      <c r="T98" s="1311">
        <v>20000000</v>
      </c>
      <c r="U98" s="1290">
        <v>88</v>
      </c>
      <c r="V98" s="1662" t="s">
        <v>227</v>
      </c>
      <c r="W98" s="2561"/>
      <c r="X98" s="2561"/>
      <c r="Y98" s="2561"/>
      <c r="Z98" s="2561"/>
      <c r="AA98" s="2561"/>
      <c r="AB98" s="2561"/>
      <c r="AC98" s="2561"/>
      <c r="AD98" s="2561"/>
      <c r="AE98" s="2561"/>
      <c r="AF98" s="2561"/>
      <c r="AG98" s="2561"/>
      <c r="AH98" s="2561"/>
      <c r="AI98" s="2561"/>
      <c r="AJ98" s="2561"/>
      <c r="AK98" s="2561"/>
      <c r="AL98" s="2561"/>
      <c r="AM98" s="2522"/>
      <c r="AN98" s="2522"/>
      <c r="AO98" s="2522"/>
    </row>
    <row r="99" spans="1:59" ht="90.75" customHeight="1" x14ac:dyDescent="0.25">
      <c r="A99" s="1502"/>
      <c r="D99" s="1469"/>
      <c r="F99" s="1503"/>
      <c r="G99" s="1335" t="s">
        <v>1425</v>
      </c>
      <c r="H99" s="1321" t="s">
        <v>1426</v>
      </c>
      <c r="I99" s="1573" t="s">
        <v>1427</v>
      </c>
      <c r="J99" s="1296" t="s">
        <v>1428</v>
      </c>
      <c r="K99" s="1605">
        <v>1</v>
      </c>
      <c r="L99" s="2568"/>
      <c r="M99" s="2571"/>
      <c r="N99" s="2356"/>
      <c r="O99" s="1574">
        <f>SUM(T99)/P97</f>
        <v>0.23630093293209223</v>
      </c>
      <c r="P99" s="2595"/>
      <c r="Q99" s="2208"/>
      <c r="R99" s="2208"/>
      <c r="S99" s="1575" t="s">
        <v>1427</v>
      </c>
      <c r="T99" s="1311">
        <v>681900630</v>
      </c>
      <c r="U99" s="1290">
        <v>27</v>
      </c>
      <c r="V99" s="1576" t="s">
        <v>1429</v>
      </c>
      <c r="W99" s="2561"/>
      <c r="X99" s="2561"/>
      <c r="Y99" s="2561"/>
      <c r="Z99" s="2561"/>
      <c r="AA99" s="2561"/>
      <c r="AB99" s="2561"/>
      <c r="AC99" s="2561"/>
      <c r="AD99" s="2561"/>
      <c r="AE99" s="2561"/>
      <c r="AF99" s="2561"/>
      <c r="AG99" s="2561"/>
      <c r="AH99" s="2561"/>
      <c r="AI99" s="2561"/>
      <c r="AJ99" s="2561"/>
      <c r="AK99" s="2561"/>
      <c r="AL99" s="2561"/>
      <c r="AM99" s="2522"/>
      <c r="AN99" s="2522"/>
      <c r="AO99" s="2522"/>
    </row>
    <row r="100" spans="1:59" ht="57" customHeight="1" x14ac:dyDescent="0.25">
      <c r="A100" s="1502"/>
      <c r="D100" s="1469"/>
      <c r="F100" s="1503"/>
      <c r="G100" s="2584" t="s">
        <v>1430</v>
      </c>
      <c r="H100" s="2585" t="s">
        <v>1431</v>
      </c>
      <c r="I100" s="2588" t="s">
        <v>1432</v>
      </c>
      <c r="J100" s="2321" t="s">
        <v>1433</v>
      </c>
      <c r="K100" s="2591">
        <v>1</v>
      </c>
      <c r="L100" s="2568"/>
      <c r="M100" s="2571"/>
      <c r="N100" s="2356"/>
      <c r="O100" s="2577">
        <f>SUM(T100:T102)/P97</f>
        <v>0.47261151716645433</v>
      </c>
      <c r="P100" s="2595"/>
      <c r="Q100" s="2208"/>
      <c r="R100" s="2208"/>
      <c r="S100" s="2580" t="s">
        <v>1432</v>
      </c>
      <c r="T100" s="1311">
        <v>75293233.930000007</v>
      </c>
      <c r="U100" s="1290">
        <v>82</v>
      </c>
      <c r="V100" s="1685" t="s">
        <v>1711</v>
      </c>
      <c r="W100" s="2561"/>
      <c r="X100" s="2561"/>
      <c r="Y100" s="2561"/>
      <c r="Z100" s="2561"/>
      <c r="AA100" s="2561"/>
      <c r="AB100" s="2561"/>
      <c r="AC100" s="2561"/>
      <c r="AD100" s="2561"/>
      <c r="AE100" s="2561"/>
      <c r="AF100" s="2561"/>
      <c r="AG100" s="2561"/>
      <c r="AH100" s="2561"/>
      <c r="AI100" s="2561"/>
      <c r="AJ100" s="2561"/>
      <c r="AK100" s="2561"/>
      <c r="AL100" s="2561"/>
      <c r="AM100" s="2522"/>
      <c r="AN100" s="2522"/>
      <c r="AO100" s="2522"/>
    </row>
    <row r="101" spans="1:59" ht="57" customHeight="1" x14ac:dyDescent="0.25">
      <c r="A101" s="1502"/>
      <c r="D101" s="1469"/>
      <c r="F101" s="1503"/>
      <c r="G101" s="2584"/>
      <c r="H101" s="2586"/>
      <c r="I101" s="2589"/>
      <c r="J101" s="2356"/>
      <c r="K101" s="2592"/>
      <c r="L101" s="2568"/>
      <c r="M101" s="2571"/>
      <c r="N101" s="2356"/>
      <c r="O101" s="2578"/>
      <c r="P101" s="2595"/>
      <c r="Q101" s="2208"/>
      <c r="R101" s="2208"/>
      <c r="S101" s="2581"/>
      <c r="T101" s="1311">
        <v>13452877.119999999</v>
      </c>
      <c r="U101" s="1290">
        <v>90</v>
      </c>
      <c r="V101" s="1576" t="s">
        <v>1434</v>
      </c>
      <c r="W101" s="2561"/>
      <c r="X101" s="2561"/>
      <c r="Y101" s="2561"/>
      <c r="Z101" s="2561"/>
      <c r="AA101" s="2561"/>
      <c r="AB101" s="2561"/>
      <c r="AC101" s="2561"/>
      <c r="AD101" s="2561"/>
      <c r="AE101" s="2561"/>
      <c r="AF101" s="2561"/>
      <c r="AG101" s="2561"/>
      <c r="AH101" s="2561"/>
      <c r="AI101" s="2561"/>
      <c r="AJ101" s="2561"/>
      <c r="AK101" s="2561"/>
      <c r="AL101" s="2561"/>
      <c r="AM101" s="2522"/>
      <c r="AN101" s="2522"/>
      <c r="AO101" s="2522"/>
    </row>
    <row r="102" spans="1:59" ht="75.75" customHeight="1" x14ac:dyDescent="0.25">
      <c r="A102" s="1502"/>
      <c r="D102" s="1469"/>
      <c r="F102" s="1503"/>
      <c r="G102" s="2584"/>
      <c r="H102" s="2587"/>
      <c r="I102" s="2590"/>
      <c r="J102" s="2320"/>
      <c r="K102" s="2593"/>
      <c r="L102" s="2568"/>
      <c r="M102" s="2571"/>
      <c r="N102" s="2356"/>
      <c r="O102" s="2579"/>
      <c r="P102" s="2595"/>
      <c r="Q102" s="2208"/>
      <c r="R102" s="2208"/>
      <c r="S102" s="2582"/>
      <c r="T102" s="1320">
        <v>1275083000</v>
      </c>
      <c r="U102" s="1552">
        <v>27</v>
      </c>
      <c r="V102" s="1577" t="s">
        <v>1429</v>
      </c>
      <c r="W102" s="2561"/>
      <c r="X102" s="2561"/>
      <c r="Y102" s="2561"/>
      <c r="Z102" s="2561"/>
      <c r="AA102" s="2561"/>
      <c r="AB102" s="2561"/>
      <c r="AC102" s="2561"/>
      <c r="AD102" s="2561"/>
      <c r="AE102" s="2561"/>
      <c r="AF102" s="2561"/>
      <c r="AG102" s="2561"/>
      <c r="AH102" s="2561"/>
      <c r="AI102" s="2561"/>
      <c r="AJ102" s="2561"/>
      <c r="AK102" s="2561"/>
      <c r="AL102" s="2561"/>
      <c r="AM102" s="2522"/>
      <c r="AN102" s="2522"/>
      <c r="AO102" s="2522"/>
    </row>
    <row r="103" spans="1:59" ht="78" customHeight="1" x14ac:dyDescent="0.25">
      <c r="A103" s="1502"/>
      <c r="D103" s="1469"/>
      <c r="F103" s="1503"/>
      <c r="G103" s="1329" t="s">
        <v>1435</v>
      </c>
      <c r="H103" s="1321" t="s">
        <v>1436</v>
      </c>
      <c r="I103" s="1573" t="s">
        <v>1437</v>
      </c>
      <c r="J103" s="1296" t="s">
        <v>1438</v>
      </c>
      <c r="K103" s="1605">
        <v>4</v>
      </c>
      <c r="L103" s="2568"/>
      <c r="M103" s="2571"/>
      <c r="N103" s="2356"/>
      <c r="O103" s="1578">
        <f>SUM(T103)/P97</f>
        <v>4.331659968771627E-2</v>
      </c>
      <c r="P103" s="2595"/>
      <c r="Q103" s="2208"/>
      <c r="R103" s="2208"/>
      <c r="S103" s="1579" t="s">
        <v>1437</v>
      </c>
      <c r="T103" s="1311">
        <v>125000000</v>
      </c>
      <c r="U103" s="1290">
        <v>27</v>
      </c>
      <c r="V103" s="1577" t="s">
        <v>1429</v>
      </c>
      <c r="W103" s="2561"/>
      <c r="X103" s="2561"/>
      <c r="Y103" s="2561"/>
      <c r="Z103" s="2561"/>
      <c r="AA103" s="2561"/>
      <c r="AB103" s="2561"/>
      <c r="AC103" s="2561"/>
      <c r="AD103" s="2561"/>
      <c r="AE103" s="2561"/>
      <c r="AF103" s="2561"/>
      <c r="AG103" s="2561"/>
      <c r="AH103" s="2561"/>
      <c r="AI103" s="2561"/>
      <c r="AJ103" s="2561"/>
      <c r="AK103" s="2561"/>
      <c r="AL103" s="2561"/>
      <c r="AM103" s="2522"/>
      <c r="AN103" s="2522"/>
      <c r="AO103" s="2522"/>
    </row>
    <row r="104" spans="1:59" ht="88.5" customHeight="1" x14ac:dyDescent="0.25">
      <c r="A104" s="1541"/>
      <c r="B104" s="1537"/>
      <c r="C104" s="1537"/>
      <c r="D104" s="1568"/>
      <c r="E104" s="1537"/>
      <c r="F104" s="1538"/>
      <c r="G104" s="1332">
        <v>4003042</v>
      </c>
      <c r="H104" s="1321" t="s">
        <v>1439</v>
      </c>
      <c r="I104" s="1573" t="s">
        <v>603</v>
      </c>
      <c r="J104" s="1296" t="s">
        <v>604</v>
      </c>
      <c r="K104" s="1606">
        <v>1</v>
      </c>
      <c r="L104" s="2569"/>
      <c r="M104" s="2572"/>
      <c r="N104" s="2575"/>
      <c r="O104" s="1578">
        <f>SUM(T104)/P97</f>
        <v>0.23737496628868518</v>
      </c>
      <c r="P104" s="2596"/>
      <c r="Q104" s="2208"/>
      <c r="R104" s="2208"/>
      <c r="S104" s="1579" t="s">
        <v>603</v>
      </c>
      <c r="T104" s="1311">
        <v>685000000</v>
      </c>
      <c r="U104" s="1290">
        <v>27</v>
      </c>
      <c r="V104" s="1577" t="s">
        <v>1429</v>
      </c>
      <c r="W104" s="2561"/>
      <c r="X104" s="2561"/>
      <c r="Y104" s="2561"/>
      <c r="Z104" s="2561"/>
      <c r="AA104" s="2561"/>
      <c r="AB104" s="2561"/>
      <c r="AC104" s="2561"/>
      <c r="AD104" s="2561"/>
      <c r="AE104" s="2561"/>
      <c r="AF104" s="2561"/>
      <c r="AG104" s="2561"/>
      <c r="AH104" s="2561"/>
      <c r="AI104" s="2561"/>
      <c r="AJ104" s="2561"/>
      <c r="AK104" s="2561"/>
      <c r="AL104" s="2561"/>
      <c r="AM104" s="2523"/>
      <c r="AN104" s="2523"/>
      <c r="AO104" s="2523"/>
    </row>
    <row r="105" spans="1:59" ht="27" customHeight="1" x14ac:dyDescent="0.25">
      <c r="A105" s="1533">
        <v>4</v>
      </c>
      <c r="B105" s="286" t="s">
        <v>267</v>
      </c>
      <c r="C105" s="287"/>
      <c r="D105" s="1074"/>
      <c r="E105" s="1076"/>
      <c r="F105" s="1076"/>
      <c r="G105" s="292"/>
      <c r="H105" s="292"/>
      <c r="I105" s="193"/>
      <c r="J105" s="193"/>
      <c r="K105" s="196"/>
      <c r="L105" s="1534"/>
      <c r="M105" s="1480"/>
      <c r="N105" s="193"/>
      <c r="O105" s="198"/>
      <c r="P105" s="1580"/>
      <c r="Q105" s="1581"/>
      <c r="R105" s="1581"/>
      <c r="S105" s="193"/>
      <c r="T105" s="1535"/>
      <c r="U105" s="201"/>
      <c r="V105" s="1534"/>
      <c r="W105" s="196"/>
      <c r="X105" s="196"/>
      <c r="Y105" s="196"/>
      <c r="Z105" s="196"/>
      <c r="AA105" s="196"/>
      <c r="AB105" s="196"/>
      <c r="AC105" s="196"/>
      <c r="AD105" s="196"/>
      <c r="AE105" s="196"/>
      <c r="AF105" s="196"/>
      <c r="AG105" s="196"/>
      <c r="AH105" s="196"/>
      <c r="AI105" s="196"/>
      <c r="AJ105" s="196"/>
      <c r="AK105" s="196"/>
      <c r="AL105" s="196"/>
      <c r="AM105" s="293"/>
      <c r="AN105" s="293"/>
      <c r="AO105" s="1542"/>
      <c r="AP105" s="169"/>
      <c r="AQ105" s="169"/>
      <c r="AR105" s="169"/>
      <c r="AS105" s="169"/>
      <c r="AT105" s="169"/>
      <c r="AU105" s="169"/>
      <c r="AV105" s="169"/>
      <c r="AW105" s="169"/>
      <c r="AX105" s="169"/>
      <c r="AY105" s="169"/>
      <c r="AZ105" s="169"/>
      <c r="BA105" s="169"/>
      <c r="BB105" s="169"/>
      <c r="BC105" s="169"/>
      <c r="BD105" s="169"/>
      <c r="BE105" s="169"/>
      <c r="BF105" s="169"/>
      <c r="BG105" s="169"/>
    </row>
    <row r="106" spans="1:59" s="169" customFormat="1" ht="27" customHeight="1" x14ac:dyDescent="0.25">
      <c r="A106" s="1283"/>
      <c r="B106" s="1354"/>
      <c r="C106" s="1355"/>
      <c r="D106" s="1489">
        <v>45</v>
      </c>
      <c r="E106" s="211" t="s">
        <v>74</v>
      </c>
      <c r="F106" s="1490"/>
      <c r="G106" s="209"/>
      <c r="H106" s="209"/>
      <c r="I106" s="210"/>
      <c r="J106" s="210"/>
      <c r="K106" s="211"/>
      <c r="L106" s="1491"/>
      <c r="M106" s="965"/>
      <c r="N106" s="260"/>
      <c r="O106" s="296"/>
      <c r="P106" s="1500"/>
      <c r="Q106" s="261"/>
      <c r="R106" s="261"/>
      <c r="S106" s="210"/>
      <c r="T106" s="1500"/>
      <c r="U106" s="1493"/>
      <c r="V106" s="1491"/>
      <c r="W106" s="262"/>
      <c r="X106" s="262"/>
      <c r="Y106" s="262"/>
      <c r="Z106" s="262"/>
      <c r="AA106" s="262"/>
      <c r="AB106" s="262"/>
      <c r="AC106" s="262"/>
      <c r="AD106" s="262"/>
      <c r="AE106" s="262"/>
      <c r="AF106" s="262"/>
      <c r="AG106" s="262"/>
      <c r="AH106" s="262"/>
      <c r="AI106" s="262"/>
      <c r="AJ106" s="262"/>
      <c r="AK106" s="262"/>
      <c r="AL106" s="262"/>
      <c r="AM106" s="269"/>
      <c r="AN106" s="269"/>
      <c r="AO106" s="1501"/>
    </row>
    <row r="107" spans="1:59" ht="63.75" customHeight="1" x14ac:dyDescent="0.25">
      <c r="A107" s="1167"/>
      <c r="B107" s="1307"/>
      <c r="C107" s="1507"/>
      <c r="D107" s="2458"/>
      <c r="E107" s="2461"/>
      <c r="F107" s="2462"/>
      <c r="G107" s="2206" t="s">
        <v>52</v>
      </c>
      <c r="H107" s="2206" t="s">
        <v>1440</v>
      </c>
      <c r="I107" s="2208" t="s">
        <v>1441</v>
      </c>
      <c r="J107" s="2247" t="s">
        <v>607</v>
      </c>
      <c r="K107" s="2473">
        <v>4</v>
      </c>
      <c r="L107" s="2323" t="s">
        <v>1442</v>
      </c>
      <c r="M107" s="2206" t="s">
        <v>1324</v>
      </c>
      <c r="N107" s="2247" t="s">
        <v>1325</v>
      </c>
      <c r="O107" s="2576">
        <f>P107/SUM(P16,P33,P37,P51,P92,P107,P110)</f>
        <v>3.7321771374874559E-2</v>
      </c>
      <c r="P107" s="2512">
        <f>SUM(T107:T108)</f>
        <v>72674512.579999998</v>
      </c>
      <c r="Q107" s="2267" t="s">
        <v>1326</v>
      </c>
      <c r="R107" s="2486" t="s">
        <v>1327</v>
      </c>
      <c r="S107" s="1300" t="s">
        <v>1336</v>
      </c>
      <c r="T107" s="1518">
        <v>12013864.58</v>
      </c>
      <c r="U107" s="1511">
        <v>20</v>
      </c>
      <c r="V107" s="1658" t="s">
        <v>108</v>
      </c>
      <c r="W107" s="2472">
        <v>295972</v>
      </c>
      <c r="X107" s="2472">
        <v>285580</v>
      </c>
      <c r="Y107" s="2472">
        <v>135545</v>
      </c>
      <c r="Z107" s="2472">
        <v>44254</v>
      </c>
      <c r="AA107" s="2472">
        <v>309146</v>
      </c>
      <c r="AB107" s="2472">
        <v>92607</v>
      </c>
      <c r="AC107" s="2472">
        <v>2145</v>
      </c>
      <c r="AD107" s="2472">
        <v>12718</v>
      </c>
      <c r="AE107" s="2472">
        <v>26</v>
      </c>
      <c r="AF107" s="2472">
        <v>37</v>
      </c>
      <c r="AG107" s="2472">
        <v>0</v>
      </c>
      <c r="AH107" s="2472">
        <v>0</v>
      </c>
      <c r="AI107" s="2472">
        <v>44350</v>
      </c>
      <c r="AJ107" s="2472">
        <v>21944</v>
      </c>
      <c r="AK107" s="2472">
        <v>75687</v>
      </c>
      <c r="AL107" s="2472">
        <f>+W107+X107</f>
        <v>581552</v>
      </c>
      <c r="AM107" s="2598">
        <v>44069</v>
      </c>
      <c r="AN107" s="2599">
        <v>44160</v>
      </c>
      <c r="AO107" s="2182" t="s">
        <v>1312</v>
      </c>
    </row>
    <row r="108" spans="1:59" ht="60.75" customHeight="1" x14ac:dyDescent="0.25">
      <c r="A108" s="1502"/>
      <c r="C108" s="1503"/>
      <c r="D108" s="2460"/>
      <c r="E108" s="2465"/>
      <c r="F108" s="2466"/>
      <c r="G108" s="2206"/>
      <c r="H108" s="2206"/>
      <c r="I108" s="2208"/>
      <c r="J108" s="2247"/>
      <c r="K108" s="2473"/>
      <c r="L108" s="2323"/>
      <c r="M108" s="2206"/>
      <c r="N108" s="2247"/>
      <c r="O108" s="2576"/>
      <c r="P108" s="2512"/>
      <c r="Q108" s="2267"/>
      <c r="R108" s="2488"/>
      <c r="S108" s="1286" t="s">
        <v>1443</v>
      </c>
      <c r="T108" s="1498">
        <v>60660648</v>
      </c>
      <c r="U108" s="587">
        <v>165</v>
      </c>
      <c r="V108" s="1336" t="s">
        <v>1713</v>
      </c>
      <c r="W108" s="2472"/>
      <c r="X108" s="2472"/>
      <c r="Y108" s="2472"/>
      <c r="Z108" s="2472"/>
      <c r="AA108" s="2472"/>
      <c r="AB108" s="2472"/>
      <c r="AC108" s="2472"/>
      <c r="AD108" s="2472"/>
      <c r="AE108" s="2472"/>
      <c r="AF108" s="2472"/>
      <c r="AG108" s="2472"/>
      <c r="AH108" s="2472"/>
      <c r="AI108" s="2472"/>
      <c r="AJ108" s="2472"/>
      <c r="AK108" s="2472"/>
      <c r="AL108" s="2472"/>
      <c r="AM108" s="2598"/>
      <c r="AN108" s="2600"/>
      <c r="AO108" s="2492"/>
    </row>
    <row r="109" spans="1:59" s="169" customFormat="1" ht="27" customHeight="1" x14ac:dyDescent="0.25">
      <c r="A109" s="34"/>
      <c r="B109" s="35"/>
      <c r="C109" s="1359"/>
      <c r="D109" s="1530">
        <v>42</v>
      </c>
      <c r="E109" s="836" t="s">
        <v>51</v>
      </c>
      <c r="F109" s="1513"/>
      <c r="G109" s="209"/>
      <c r="H109" s="209"/>
      <c r="I109" s="210"/>
      <c r="J109" s="210"/>
      <c r="K109" s="211"/>
      <c r="L109" s="1491"/>
      <c r="M109" s="965"/>
      <c r="N109" s="260"/>
      <c r="O109" s="296"/>
      <c r="P109" s="1500"/>
      <c r="Q109" s="261"/>
      <c r="R109" s="261"/>
      <c r="S109" s="210"/>
      <c r="T109" s="1500"/>
      <c r="U109" s="1493"/>
      <c r="V109" s="1491"/>
      <c r="W109" s="262"/>
      <c r="X109" s="262"/>
      <c r="Y109" s="262"/>
      <c r="Z109" s="262"/>
      <c r="AA109" s="262"/>
      <c r="AB109" s="262"/>
      <c r="AC109" s="262"/>
      <c r="AD109" s="262"/>
      <c r="AE109" s="262"/>
      <c r="AF109" s="262"/>
      <c r="AG109" s="262"/>
      <c r="AH109" s="262"/>
      <c r="AI109" s="262"/>
      <c r="AJ109" s="262"/>
      <c r="AK109" s="262"/>
      <c r="AL109" s="262"/>
      <c r="AM109" s="269"/>
      <c r="AN109" s="269"/>
      <c r="AO109" s="1501"/>
    </row>
    <row r="110" spans="1:59" ht="49.5" customHeight="1" x14ac:dyDescent="0.25">
      <c r="A110" s="1167"/>
      <c r="B110" s="1307"/>
      <c r="C110" s="1507"/>
      <c r="D110" s="2459"/>
      <c r="E110" s="2463"/>
      <c r="F110" s="2464"/>
      <c r="G110" s="2597">
        <v>4502003</v>
      </c>
      <c r="H110" s="2597" t="s">
        <v>1444</v>
      </c>
      <c r="I110" s="2499" t="s">
        <v>1445</v>
      </c>
      <c r="J110" s="2247" t="s">
        <v>1445</v>
      </c>
      <c r="K110" s="2473">
        <v>2</v>
      </c>
      <c r="L110" s="2323" t="s">
        <v>1446</v>
      </c>
      <c r="M110" s="2206" t="s">
        <v>1324</v>
      </c>
      <c r="N110" s="2247" t="s">
        <v>1325</v>
      </c>
      <c r="O110" s="2576">
        <f>P110/SUM(P16,P33,P37,P51,P92,P107,P110)</f>
        <v>1.2339366065644782E-2</v>
      </c>
      <c r="P110" s="2512">
        <f>SUM(T110:T112)</f>
        <v>24027729.16</v>
      </c>
      <c r="Q110" s="2267" t="s">
        <v>1326</v>
      </c>
      <c r="R110" s="2267" t="s">
        <v>1327</v>
      </c>
      <c r="S110" s="2321" t="s">
        <v>1349</v>
      </c>
      <c r="T110" s="1531">
        <v>1027729.16</v>
      </c>
      <c r="U110" s="61">
        <v>20</v>
      </c>
      <c r="V110" s="1658" t="s">
        <v>108</v>
      </c>
      <c r="W110" s="2472">
        <v>295972</v>
      </c>
      <c r="X110" s="2472">
        <v>285580</v>
      </c>
      <c r="Y110" s="2472">
        <v>135545</v>
      </c>
      <c r="Z110" s="2472">
        <v>44254</v>
      </c>
      <c r="AA110" s="2472">
        <v>309146</v>
      </c>
      <c r="AB110" s="2472">
        <v>92607</v>
      </c>
      <c r="AC110" s="2472">
        <v>2145</v>
      </c>
      <c r="AD110" s="2472">
        <v>12718</v>
      </c>
      <c r="AE110" s="2472">
        <v>26</v>
      </c>
      <c r="AF110" s="2472">
        <v>37</v>
      </c>
      <c r="AG110" s="2472">
        <v>0</v>
      </c>
      <c r="AH110" s="2472">
        <v>0</v>
      </c>
      <c r="AI110" s="2472">
        <v>44350</v>
      </c>
      <c r="AJ110" s="2472">
        <v>21944</v>
      </c>
      <c r="AK110" s="2472">
        <v>75687</v>
      </c>
      <c r="AL110" s="2472">
        <f>+W110+X110</f>
        <v>581552</v>
      </c>
      <c r="AM110" s="2521"/>
      <c r="AN110" s="2521"/>
      <c r="AO110" s="2521"/>
    </row>
    <row r="111" spans="1:59" ht="49.5" customHeight="1" x14ac:dyDescent="0.25">
      <c r="A111" s="1167"/>
      <c r="B111" s="1307"/>
      <c r="C111" s="1507"/>
      <c r="D111" s="2459"/>
      <c r="E111" s="2463"/>
      <c r="F111" s="2464"/>
      <c r="G111" s="2597"/>
      <c r="H111" s="2597"/>
      <c r="I111" s="2499"/>
      <c r="J111" s="2247"/>
      <c r="K111" s="2473"/>
      <c r="L111" s="2323"/>
      <c r="M111" s="2206"/>
      <c r="N111" s="2247"/>
      <c r="O111" s="2576"/>
      <c r="P111" s="2512"/>
      <c r="Q111" s="2267"/>
      <c r="R111" s="2267"/>
      <c r="S111" s="2320"/>
      <c r="T111" s="1531">
        <v>13000000</v>
      </c>
      <c r="U111" s="61">
        <v>88</v>
      </c>
      <c r="V111" s="1662" t="s">
        <v>227</v>
      </c>
      <c r="W111" s="2472"/>
      <c r="X111" s="2472"/>
      <c r="Y111" s="2472"/>
      <c r="Z111" s="2472"/>
      <c r="AA111" s="2472"/>
      <c r="AB111" s="2472"/>
      <c r="AC111" s="2472"/>
      <c r="AD111" s="2472"/>
      <c r="AE111" s="2472"/>
      <c r="AF111" s="2472"/>
      <c r="AG111" s="2472"/>
      <c r="AH111" s="2472"/>
      <c r="AI111" s="2472"/>
      <c r="AJ111" s="2472"/>
      <c r="AK111" s="2472"/>
      <c r="AL111" s="2472"/>
      <c r="AM111" s="2522"/>
      <c r="AN111" s="2522"/>
      <c r="AO111" s="2522"/>
    </row>
    <row r="112" spans="1:59" ht="92.25" customHeight="1" x14ac:dyDescent="0.25">
      <c r="A112" s="1502"/>
      <c r="C112" s="1503"/>
      <c r="D112" s="2460"/>
      <c r="E112" s="2465"/>
      <c r="F112" s="2466"/>
      <c r="G112" s="2597"/>
      <c r="H112" s="2597"/>
      <c r="I112" s="2499"/>
      <c r="J112" s="2247"/>
      <c r="K112" s="2473"/>
      <c r="L112" s="2323"/>
      <c r="M112" s="2206"/>
      <c r="N112" s="2247"/>
      <c r="O112" s="2576"/>
      <c r="P112" s="2512"/>
      <c r="Q112" s="2267"/>
      <c r="R112" s="2267"/>
      <c r="S112" s="1495" t="s">
        <v>1447</v>
      </c>
      <c r="T112" s="1498">
        <v>10000000</v>
      </c>
      <c r="U112" s="1511">
        <v>88</v>
      </c>
      <c r="V112" s="1662" t="s">
        <v>227</v>
      </c>
      <c r="W112" s="2472"/>
      <c r="X112" s="2472"/>
      <c r="Y112" s="2472"/>
      <c r="Z112" s="2472"/>
      <c r="AA112" s="2472"/>
      <c r="AB112" s="2472"/>
      <c r="AC112" s="2472"/>
      <c r="AD112" s="2472"/>
      <c r="AE112" s="2472"/>
      <c r="AF112" s="2472"/>
      <c r="AG112" s="2472"/>
      <c r="AH112" s="2472"/>
      <c r="AI112" s="2472"/>
      <c r="AJ112" s="2472"/>
      <c r="AK112" s="2472"/>
      <c r="AL112" s="2472"/>
      <c r="AM112" s="2523"/>
      <c r="AN112" s="2523"/>
      <c r="AO112" s="2523"/>
    </row>
    <row r="113" spans="1:61" ht="27" customHeight="1" x14ac:dyDescent="0.25">
      <c r="A113" s="1541"/>
      <c r="B113" s="1537"/>
      <c r="C113" s="1538"/>
      <c r="D113" s="1505"/>
      <c r="E113" s="1505"/>
      <c r="F113" s="429"/>
      <c r="G113" s="429"/>
      <c r="H113" s="429"/>
      <c r="I113" s="1304"/>
      <c r="J113" s="1304"/>
      <c r="K113" s="1327"/>
      <c r="L113" s="1327"/>
      <c r="M113" s="1327"/>
      <c r="N113" s="1304"/>
      <c r="O113" s="432"/>
      <c r="P113" s="1582">
        <f>SUM(P12:P112)</f>
        <v>5840104583.4699993</v>
      </c>
      <c r="Q113" s="1303"/>
      <c r="R113" s="1303"/>
      <c r="S113" s="1303"/>
      <c r="T113" s="1582">
        <f>SUM(T12:T112)</f>
        <v>5840104583.4699993</v>
      </c>
      <c r="U113" s="435"/>
      <c r="V113" s="118"/>
      <c r="W113" s="118"/>
      <c r="X113" s="118"/>
      <c r="Y113" s="118"/>
      <c r="Z113" s="118"/>
      <c r="AA113" s="118"/>
      <c r="AB113" s="118"/>
      <c r="AC113" s="118"/>
      <c r="AD113" s="118"/>
      <c r="AE113" s="118"/>
      <c r="AF113" s="118"/>
      <c r="AG113" s="118"/>
      <c r="AH113" s="118"/>
      <c r="AI113" s="118"/>
      <c r="AJ113" s="118"/>
      <c r="AK113" s="118"/>
      <c r="AL113" s="118"/>
      <c r="AM113" s="1338"/>
      <c r="AN113" s="1338"/>
      <c r="AO113" s="118"/>
    </row>
    <row r="114" spans="1:61" s="871" customFormat="1" ht="27" customHeight="1" x14ac:dyDescent="0.25">
      <c r="A114" s="1183"/>
      <c r="B114" s="1184"/>
      <c r="C114" s="1184"/>
      <c r="D114" s="1184"/>
      <c r="E114" s="1184"/>
      <c r="F114" s="1184"/>
      <c r="G114" s="1184"/>
      <c r="H114" s="1184"/>
      <c r="I114" s="1294"/>
      <c r="J114" s="1294"/>
      <c r="K114" s="169"/>
      <c r="L114" s="169"/>
      <c r="M114" s="169"/>
      <c r="N114" s="1294"/>
      <c r="O114" s="164"/>
      <c r="P114" s="1583"/>
      <c r="Q114" s="1294"/>
      <c r="R114" s="1294"/>
      <c r="S114" s="1126"/>
      <c r="T114" s="1584"/>
      <c r="U114" s="168"/>
      <c r="V114" s="169"/>
      <c r="W114" s="1184"/>
      <c r="X114" s="1184"/>
      <c r="Y114" s="1184"/>
      <c r="Z114" s="1184"/>
      <c r="AA114" s="1184"/>
      <c r="AB114" s="1184"/>
      <c r="AC114" s="1184"/>
      <c r="AD114" s="1184"/>
      <c r="AE114" s="1184"/>
      <c r="AF114" s="1184"/>
      <c r="AG114" s="1184"/>
      <c r="AH114" s="1184"/>
      <c r="AI114" s="1184"/>
      <c r="AJ114" s="1184"/>
      <c r="AK114" s="1184"/>
      <c r="AL114" s="1184"/>
      <c r="AM114" s="171"/>
      <c r="AN114" s="171"/>
      <c r="AO114" s="1184"/>
      <c r="AP114" s="1184"/>
      <c r="AQ114" s="1184"/>
      <c r="AR114" s="1184"/>
      <c r="AS114" s="1184"/>
      <c r="AT114" s="1184"/>
      <c r="AU114" s="1184"/>
      <c r="AV114" s="1184"/>
      <c r="AW114" s="1184"/>
      <c r="AX114" s="1184"/>
      <c r="AY114" s="1184"/>
      <c r="AZ114" s="1184"/>
      <c r="BA114" s="1184"/>
      <c r="BB114" s="1184"/>
      <c r="BC114" s="1184"/>
      <c r="BD114" s="1184"/>
      <c r="BE114" s="1184"/>
      <c r="BF114" s="1184"/>
      <c r="BG114" s="1184"/>
      <c r="BH114" s="1184"/>
      <c r="BI114" s="1184"/>
    </row>
    <row r="115" spans="1:61" s="871" customFormat="1" ht="27" customHeight="1" x14ac:dyDescent="0.25">
      <c r="A115" s="1183"/>
      <c r="B115" s="1184"/>
      <c r="C115" s="1184"/>
      <c r="D115" s="1184"/>
      <c r="E115" s="1184"/>
      <c r="F115" s="1184"/>
      <c r="G115" s="1184"/>
      <c r="H115" s="1184"/>
      <c r="I115" s="1294"/>
      <c r="J115" s="1294"/>
      <c r="K115" s="169"/>
      <c r="L115" s="169"/>
      <c r="M115" s="169"/>
      <c r="N115" s="1294"/>
      <c r="O115" s="164"/>
      <c r="P115" s="1583"/>
      <c r="Q115" s="1294"/>
      <c r="R115" s="1585"/>
      <c r="S115" s="1126"/>
      <c r="T115" s="1584"/>
      <c r="U115" s="168"/>
      <c r="V115" s="169"/>
      <c r="W115" s="1184"/>
      <c r="X115" s="1184"/>
      <c r="Y115" s="1184"/>
      <c r="Z115" s="1184"/>
      <c r="AA115" s="1184"/>
      <c r="AB115" s="1184"/>
      <c r="AC115" s="1184"/>
      <c r="AD115" s="1184"/>
      <c r="AE115" s="1184"/>
      <c r="AF115" s="1184"/>
      <c r="AG115" s="1184"/>
      <c r="AH115" s="1184"/>
      <c r="AI115" s="1184"/>
      <c r="AJ115" s="1184"/>
      <c r="AK115" s="1184"/>
      <c r="AL115" s="1184"/>
      <c r="AM115" s="171"/>
      <c r="AN115" s="171"/>
      <c r="AO115" s="1184"/>
      <c r="AP115" s="1184"/>
      <c r="AQ115" s="1184"/>
      <c r="AR115" s="1184"/>
      <c r="AS115" s="1184"/>
      <c r="AT115" s="1184"/>
      <c r="AU115" s="1184"/>
      <c r="AV115" s="1184"/>
      <c r="AW115" s="1184"/>
      <c r="AX115" s="1184"/>
      <c r="AY115" s="1184"/>
      <c r="AZ115" s="1184"/>
      <c r="BA115" s="1184"/>
      <c r="BB115" s="1184"/>
      <c r="BC115" s="1184"/>
      <c r="BD115" s="1184"/>
      <c r="BE115" s="1184"/>
      <c r="BF115" s="1184"/>
      <c r="BG115" s="1184"/>
      <c r="BH115" s="1184"/>
      <c r="BI115" s="1184"/>
    </row>
    <row r="116" spans="1:61" s="871" customFormat="1" ht="27" customHeight="1" x14ac:dyDescent="0.25">
      <c r="A116" s="1183"/>
      <c r="B116" s="1184"/>
      <c r="C116" s="1586"/>
      <c r="D116" s="1587"/>
      <c r="E116" s="1537"/>
      <c r="F116" s="1537"/>
      <c r="G116" s="1537"/>
      <c r="H116" s="1184"/>
      <c r="I116" s="1126"/>
      <c r="J116" s="1294"/>
      <c r="K116" s="169"/>
      <c r="L116" s="169"/>
      <c r="M116" s="169"/>
      <c r="N116" s="1294"/>
      <c r="O116" s="164"/>
      <c r="P116" s="1583"/>
      <c r="Q116" s="1294"/>
      <c r="R116" s="1294"/>
      <c r="S116" s="1126"/>
      <c r="T116" s="1584"/>
      <c r="U116" s="168"/>
      <c r="V116" s="169"/>
      <c r="W116" s="1184"/>
      <c r="X116" s="1184"/>
      <c r="Y116" s="1184"/>
      <c r="Z116" s="1184"/>
      <c r="AA116" s="1184"/>
      <c r="AB116" s="1184"/>
      <c r="AC116" s="1184"/>
      <c r="AD116" s="1184"/>
      <c r="AE116" s="1184"/>
      <c r="AF116" s="1184"/>
      <c r="AG116" s="1184"/>
      <c r="AH116" s="1184"/>
      <c r="AI116" s="1184"/>
      <c r="AJ116" s="1184"/>
      <c r="AK116" s="1184"/>
      <c r="AL116" s="1184"/>
      <c r="AM116" s="171"/>
      <c r="AN116" s="171"/>
      <c r="AO116" s="1184"/>
      <c r="AP116" s="1184"/>
      <c r="AQ116" s="1184"/>
      <c r="AR116" s="1184"/>
      <c r="AS116" s="1184"/>
      <c r="AT116" s="1184"/>
      <c r="AU116" s="1184"/>
      <c r="AV116" s="1184"/>
      <c r="AW116" s="1184"/>
      <c r="AX116" s="1184"/>
      <c r="AY116" s="1184"/>
      <c r="AZ116" s="1184"/>
      <c r="BA116" s="1184"/>
      <c r="BB116" s="1184"/>
      <c r="BC116" s="1184"/>
      <c r="BD116" s="1184"/>
      <c r="BE116" s="1184"/>
      <c r="BF116" s="1184"/>
      <c r="BG116" s="1184"/>
      <c r="BH116" s="1184"/>
      <c r="BI116" s="1184"/>
    </row>
    <row r="117" spans="1:61" s="871" customFormat="1" ht="27" customHeight="1" x14ac:dyDescent="0.25">
      <c r="A117" s="1183"/>
      <c r="B117" s="1184"/>
      <c r="C117" s="1308" t="s">
        <v>1448</v>
      </c>
      <c r="D117" s="169"/>
      <c r="E117" s="1184"/>
      <c r="F117" s="1184"/>
      <c r="G117" s="1184"/>
      <c r="H117" s="1184"/>
      <c r="I117" s="1126"/>
      <c r="J117" s="1294"/>
      <c r="K117" s="169"/>
      <c r="L117" s="169"/>
      <c r="M117" s="169"/>
      <c r="N117" s="1294"/>
      <c r="O117" s="164"/>
      <c r="P117" s="1583"/>
      <c r="Q117" s="1294"/>
      <c r="R117" s="1294"/>
      <c r="S117" s="1294"/>
      <c r="T117" s="1583"/>
      <c r="U117" s="168"/>
      <c r="V117" s="169"/>
      <c r="W117" s="1184"/>
      <c r="X117" s="1184"/>
      <c r="Y117" s="1184"/>
      <c r="Z117" s="1184"/>
      <c r="AA117" s="1184"/>
      <c r="AB117" s="1184"/>
      <c r="AC117" s="1184"/>
      <c r="AD117" s="1184"/>
      <c r="AE117" s="1184"/>
      <c r="AF117" s="1184"/>
      <c r="AG117" s="1184"/>
      <c r="AH117" s="1184"/>
      <c r="AI117" s="1184"/>
      <c r="AJ117" s="1184"/>
      <c r="AK117" s="1184"/>
      <c r="AL117" s="1184"/>
      <c r="AM117" s="171"/>
      <c r="AN117" s="171"/>
      <c r="AO117" s="1184"/>
      <c r="AP117" s="1184"/>
      <c r="AQ117" s="1184"/>
      <c r="AR117" s="1184"/>
      <c r="AS117" s="1184"/>
      <c r="AT117" s="1184"/>
      <c r="AU117" s="1184"/>
      <c r="AV117" s="1184"/>
      <c r="AW117" s="1184"/>
      <c r="AX117" s="1184"/>
      <c r="AY117" s="1184"/>
      <c r="AZ117" s="1184"/>
      <c r="BA117" s="1184"/>
      <c r="BB117" s="1184"/>
      <c r="BC117" s="1184"/>
      <c r="BD117" s="1184"/>
      <c r="BE117" s="1184"/>
      <c r="BF117" s="1184"/>
      <c r="BG117" s="1184"/>
      <c r="BH117" s="1184"/>
      <c r="BI117" s="1184"/>
    </row>
    <row r="118" spans="1:61" s="871" customFormat="1" ht="27" customHeight="1" x14ac:dyDescent="0.25">
      <c r="A118" s="1183"/>
      <c r="B118" s="1184"/>
      <c r="C118" s="1308" t="s">
        <v>1449</v>
      </c>
      <c r="D118" s="169"/>
      <c r="E118" s="1184"/>
      <c r="F118" s="1184"/>
      <c r="G118" s="1184"/>
      <c r="H118" s="1184"/>
      <c r="I118" s="1126"/>
      <c r="J118" s="1294"/>
      <c r="K118" s="169"/>
      <c r="L118" s="169"/>
      <c r="M118" s="169"/>
      <c r="N118" s="1294"/>
      <c r="O118" s="164"/>
      <c r="P118" s="1583"/>
      <c r="Q118" s="1294"/>
      <c r="R118" s="1294"/>
      <c r="S118" s="1294"/>
      <c r="T118" s="1583"/>
      <c r="U118" s="168"/>
      <c r="V118" s="169"/>
      <c r="W118" s="1184"/>
      <c r="X118" s="1184"/>
      <c r="Y118" s="1184"/>
      <c r="Z118" s="1184"/>
      <c r="AA118" s="1184"/>
      <c r="AB118" s="1184"/>
      <c r="AC118" s="1184"/>
      <c r="AD118" s="1184"/>
      <c r="AE118" s="1184"/>
      <c r="AF118" s="1184"/>
      <c r="AG118" s="1184"/>
      <c r="AH118" s="1184"/>
      <c r="AI118" s="1184"/>
      <c r="AJ118" s="1184"/>
      <c r="AK118" s="1184"/>
      <c r="AL118" s="1184"/>
      <c r="AM118" s="171"/>
      <c r="AN118" s="171"/>
      <c r="AO118" s="1184"/>
      <c r="AP118" s="1184"/>
      <c r="AQ118" s="1184"/>
      <c r="AR118" s="1184"/>
      <c r="AS118" s="1184"/>
      <c r="AT118" s="1184"/>
      <c r="AU118" s="1184"/>
      <c r="AV118" s="1184"/>
      <c r="AW118" s="1184"/>
      <c r="AX118" s="1184"/>
      <c r="AY118" s="1184"/>
      <c r="AZ118" s="1184"/>
      <c r="BA118" s="1184"/>
      <c r="BB118" s="1184"/>
      <c r="BC118" s="1184"/>
      <c r="BD118" s="1184"/>
      <c r="BE118" s="1184"/>
      <c r="BF118" s="1184"/>
      <c r="BG118" s="1184"/>
      <c r="BH118" s="1184"/>
      <c r="BI118" s="1184"/>
    </row>
  </sheetData>
  <sheetProtection password="A60F" sheet="1" objects="1" scenarios="1"/>
  <mergeCells count="385">
    <mergeCell ref="AO110:AO112"/>
    <mergeCell ref="AI110:AI112"/>
    <mergeCell ref="AJ110:AJ112"/>
    <mergeCell ref="AK110:AK112"/>
    <mergeCell ref="AL110:AL112"/>
    <mergeCell ref="AM110:AM112"/>
    <mergeCell ref="AN110:AN112"/>
    <mergeCell ref="AC110:AC112"/>
    <mergeCell ref="AD110:AD112"/>
    <mergeCell ref="AE110:AE112"/>
    <mergeCell ref="AF110:AF112"/>
    <mergeCell ref="AG110:AG112"/>
    <mergeCell ref="AH110:AH112"/>
    <mergeCell ref="W110:W112"/>
    <mergeCell ref="X110:X112"/>
    <mergeCell ref="Y110:Y112"/>
    <mergeCell ref="Z110:Z112"/>
    <mergeCell ref="AA110:AA112"/>
    <mergeCell ref="AB110:AB112"/>
    <mergeCell ref="N110:N112"/>
    <mergeCell ref="O110:O112"/>
    <mergeCell ref="P110:P112"/>
    <mergeCell ref="Q110:Q112"/>
    <mergeCell ref="R110:R112"/>
    <mergeCell ref="S110:S111"/>
    <mergeCell ref="AO107:AO108"/>
    <mergeCell ref="D110:D112"/>
    <mergeCell ref="E110:F112"/>
    <mergeCell ref="G110:G112"/>
    <mergeCell ref="H110:H112"/>
    <mergeCell ref="I110:I112"/>
    <mergeCell ref="J110:J112"/>
    <mergeCell ref="K110:K112"/>
    <mergeCell ref="L110:L112"/>
    <mergeCell ref="M110:M112"/>
    <mergeCell ref="AI107:AI108"/>
    <mergeCell ref="AJ107:AJ108"/>
    <mergeCell ref="AK107:AK108"/>
    <mergeCell ref="AL107:AL108"/>
    <mergeCell ref="AM107:AM108"/>
    <mergeCell ref="AN107:AN108"/>
    <mergeCell ref="AC107:AC108"/>
    <mergeCell ref="AD107:AD108"/>
    <mergeCell ref="AE107:AE108"/>
    <mergeCell ref="AF107:AF108"/>
    <mergeCell ref="AG107:AG108"/>
    <mergeCell ref="AH107:AH108"/>
    <mergeCell ref="W107:W108"/>
    <mergeCell ref="X107:X108"/>
    <mergeCell ref="Y107:Y108"/>
    <mergeCell ref="Z107:Z108"/>
    <mergeCell ref="AA107:AA108"/>
    <mergeCell ref="AB107:AB108"/>
    <mergeCell ref="M107:M108"/>
    <mergeCell ref="N107:N108"/>
    <mergeCell ref="O107:O108"/>
    <mergeCell ref="P107:P108"/>
    <mergeCell ref="Q107:Q108"/>
    <mergeCell ref="R107:R108"/>
    <mergeCell ref="D107:D108"/>
    <mergeCell ref="E107:F108"/>
    <mergeCell ref="G107:G108"/>
    <mergeCell ref="H107:H108"/>
    <mergeCell ref="I107:I108"/>
    <mergeCell ref="J107:J108"/>
    <mergeCell ref="K107:K108"/>
    <mergeCell ref="L107:L108"/>
    <mergeCell ref="R97:R104"/>
    <mergeCell ref="AK97:AK104"/>
    <mergeCell ref="AL97:AL104"/>
    <mergeCell ref="AM97:AM104"/>
    <mergeCell ref="AN97:AN104"/>
    <mergeCell ref="AO97:AO104"/>
    <mergeCell ref="G100:G102"/>
    <mergeCell ref="H100:H102"/>
    <mergeCell ref="I100:I102"/>
    <mergeCell ref="J100:J102"/>
    <mergeCell ref="K100:K102"/>
    <mergeCell ref="AE97:AE104"/>
    <mergeCell ref="AF97:AF104"/>
    <mergeCell ref="AG97:AG104"/>
    <mergeCell ref="AH97:AH104"/>
    <mergeCell ref="AI97:AI104"/>
    <mergeCell ref="AJ97:AJ104"/>
    <mergeCell ref="Y97:Y104"/>
    <mergeCell ref="Z97:Z104"/>
    <mergeCell ref="AA97:AA104"/>
    <mergeCell ref="AB97:AB104"/>
    <mergeCell ref="AC97:AC104"/>
    <mergeCell ref="AD97:AD104"/>
    <mergeCell ref="P97:P104"/>
    <mergeCell ref="Q97:Q104"/>
    <mergeCell ref="W97:W104"/>
    <mergeCell ref="X97:X104"/>
    <mergeCell ref="S94:S95"/>
    <mergeCell ref="G97:G98"/>
    <mergeCell ref="H97:H98"/>
    <mergeCell ref="I97:I98"/>
    <mergeCell ref="J97:J98"/>
    <mergeCell ref="K97:K98"/>
    <mergeCell ref="L97:L104"/>
    <mergeCell ref="M97:M104"/>
    <mergeCell ref="N97:N104"/>
    <mergeCell ref="O97:O98"/>
    <mergeCell ref="W92:W95"/>
    <mergeCell ref="X92:X95"/>
    <mergeCell ref="O100:O102"/>
    <mergeCell ref="S100:S102"/>
    <mergeCell ref="S97:S98"/>
    <mergeCell ref="AI92:AI95"/>
    <mergeCell ref="AJ92:AJ95"/>
    <mergeCell ref="AK92:AK95"/>
    <mergeCell ref="AL92:AL95"/>
    <mergeCell ref="AM92:AM95"/>
    <mergeCell ref="AN92:AN95"/>
    <mergeCell ref="AC92:AC95"/>
    <mergeCell ref="AD92:AD95"/>
    <mergeCell ref="AE92:AE95"/>
    <mergeCell ref="AF92:AF95"/>
    <mergeCell ref="AG92:AG95"/>
    <mergeCell ref="AH92:AH95"/>
    <mergeCell ref="Y92:Y95"/>
    <mergeCell ref="Z92:Z95"/>
    <mergeCell ref="AA92:AA95"/>
    <mergeCell ref="AB92:AB95"/>
    <mergeCell ref="M92:M95"/>
    <mergeCell ref="N92:N95"/>
    <mergeCell ref="O92:O95"/>
    <mergeCell ref="P92:P95"/>
    <mergeCell ref="Q92:Q95"/>
    <mergeCell ref="R92:R95"/>
    <mergeCell ref="AO65:AO85"/>
    <mergeCell ref="S76:S78"/>
    <mergeCell ref="S81:S82"/>
    <mergeCell ref="S84:S85"/>
    <mergeCell ref="G92:G95"/>
    <mergeCell ref="H92:H95"/>
    <mergeCell ref="I92:I95"/>
    <mergeCell ref="J92:J95"/>
    <mergeCell ref="K92:K95"/>
    <mergeCell ref="L92:L95"/>
    <mergeCell ref="AI65:AI85"/>
    <mergeCell ref="AJ65:AJ85"/>
    <mergeCell ref="AK65:AK85"/>
    <mergeCell ref="AL65:AL85"/>
    <mergeCell ref="AM65:AM85"/>
    <mergeCell ref="AN65:AN85"/>
    <mergeCell ref="AC65:AC85"/>
    <mergeCell ref="AD65:AD85"/>
    <mergeCell ref="AE65:AE85"/>
    <mergeCell ref="AF65:AF85"/>
    <mergeCell ref="AG65:AG85"/>
    <mergeCell ref="AH65:AH85"/>
    <mergeCell ref="S65:S66"/>
    <mergeCell ref="W65:W85"/>
    <mergeCell ref="Y65:Y85"/>
    <mergeCell ref="Z65:Z85"/>
    <mergeCell ref="AA65:AA85"/>
    <mergeCell ref="AB65:AB85"/>
    <mergeCell ref="M65:M86"/>
    <mergeCell ref="N65:N86"/>
    <mergeCell ref="O65:O86"/>
    <mergeCell ref="P65:P86"/>
    <mergeCell ref="Q65:Q86"/>
    <mergeCell ref="R65:R86"/>
    <mergeCell ref="G65:G85"/>
    <mergeCell ref="H65:H85"/>
    <mergeCell ref="I65:I85"/>
    <mergeCell ref="J65:J85"/>
    <mergeCell ref="K65:K85"/>
    <mergeCell ref="L65:L85"/>
    <mergeCell ref="BP60:BP61"/>
    <mergeCell ref="BQ60:BQ61"/>
    <mergeCell ref="BR60:BR61"/>
    <mergeCell ref="BD60:BD61"/>
    <mergeCell ref="BE60:BE61"/>
    <mergeCell ref="BF60:BF61"/>
    <mergeCell ref="BG60:BG61"/>
    <mergeCell ref="BH60:BH61"/>
    <mergeCell ref="BI60:BI61"/>
    <mergeCell ref="AX60:AX61"/>
    <mergeCell ref="AY60:AY61"/>
    <mergeCell ref="AZ60:AZ61"/>
    <mergeCell ref="BA60:BA61"/>
    <mergeCell ref="BB60:BB61"/>
    <mergeCell ref="BC60:BC61"/>
    <mergeCell ref="AR60:AR61"/>
    <mergeCell ref="AS60:AS61"/>
    <mergeCell ref="AT60:AT61"/>
    <mergeCell ref="BS60:BS61"/>
    <mergeCell ref="BT60:BT61"/>
    <mergeCell ref="BU60:BU61"/>
    <mergeCell ref="BJ60:BJ61"/>
    <mergeCell ref="BK60:BK61"/>
    <mergeCell ref="BL60:BL61"/>
    <mergeCell ref="BM60:BM61"/>
    <mergeCell ref="BN60:BN61"/>
    <mergeCell ref="BO60:BO61"/>
    <mergeCell ref="AU60:AU61"/>
    <mergeCell ref="AV60:AV61"/>
    <mergeCell ref="AW60:AW61"/>
    <mergeCell ref="AO51:AO57"/>
    <mergeCell ref="D54:D57"/>
    <mergeCell ref="E54:F57"/>
    <mergeCell ref="S54:S55"/>
    <mergeCell ref="AP60:AP61"/>
    <mergeCell ref="AQ60:AQ61"/>
    <mergeCell ref="AI51:AI57"/>
    <mergeCell ref="AJ51:AJ57"/>
    <mergeCell ref="AK51:AK57"/>
    <mergeCell ref="AL51:AL57"/>
    <mergeCell ref="AM51:AM57"/>
    <mergeCell ref="AN51:AN57"/>
    <mergeCell ref="AC51:AC57"/>
    <mergeCell ref="AD51:AD57"/>
    <mergeCell ref="AE51:AE57"/>
    <mergeCell ref="AF51:AF57"/>
    <mergeCell ref="AG51:AG57"/>
    <mergeCell ref="AH51:AH57"/>
    <mergeCell ref="W51:W57"/>
    <mergeCell ref="X51:X57"/>
    <mergeCell ref="Y51:Y57"/>
    <mergeCell ref="Z51:Z57"/>
    <mergeCell ref="AA51:AA57"/>
    <mergeCell ref="AB51:AB57"/>
    <mergeCell ref="M51:M57"/>
    <mergeCell ref="N51:N57"/>
    <mergeCell ref="O51:O57"/>
    <mergeCell ref="P51:P57"/>
    <mergeCell ref="Q51:Q57"/>
    <mergeCell ref="R51:R57"/>
    <mergeCell ref="AL37:AL49"/>
    <mergeCell ref="AM37:AM49"/>
    <mergeCell ref="AN37:AN49"/>
    <mergeCell ref="AO37:AO49"/>
    <mergeCell ref="G51:G57"/>
    <mergeCell ref="H51:H57"/>
    <mergeCell ref="I51:I57"/>
    <mergeCell ref="J51:J57"/>
    <mergeCell ref="K51:K57"/>
    <mergeCell ref="L51:L57"/>
    <mergeCell ref="AF37:AF49"/>
    <mergeCell ref="AG37:AG49"/>
    <mergeCell ref="AH37:AH49"/>
    <mergeCell ref="AI37:AI49"/>
    <mergeCell ref="AJ37:AJ49"/>
    <mergeCell ref="AK37:AK49"/>
    <mergeCell ref="Z37:Z49"/>
    <mergeCell ref="AA37:AA49"/>
    <mergeCell ref="AB37:AB49"/>
    <mergeCell ref="AC37:AC49"/>
    <mergeCell ref="AD37:AD49"/>
    <mergeCell ref="AE37:AE49"/>
    <mergeCell ref="P37:P49"/>
    <mergeCell ref="Q37:Q49"/>
    <mergeCell ref="R37:R49"/>
    <mergeCell ref="W37:W49"/>
    <mergeCell ref="X37:X49"/>
    <mergeCell ref="Y37:Y49"/>
    <mergeCell ref="J37:J49"/>
    <mergeCell ref="K37:K49"/>
    <mergeCell ref="L37:L49"/>
    <mergeCell ref="M37:M49"/>
    <mergeCell ref="N37:N49"/>
    <mergeCell ref="O37:O49"/>
    <mergeCell ref="AK33:AK35"/>
    <mergeCell ref="AL33:AL35"/>
    <mergeCell ref="AM33:AM35"/>
    <mergeCell ref="AN33:AN35"/>
    <mergeCell ref="AO33:AO35"/>
    <mergeCell ref="D37:D49"/>
    <mergeCell ref="E37:F49"/>
    <mergeCell ref="G37:G49"/>
    <mergeCell ref="H37:H49"/>
    <mergeCell ref="I37:I49"/>
    <mergeCell ref="AE33:AE35"/>
    <mergeCell ref="AF33:AF35"/>
    <mergeCell ref="AG33:AG35"/>
    <mergeCell ref="AH33:AH35"/>
    <mergeCell ref="AI33:AI35"/>
    <mergeCell ref="AJ33:AJ35"/>
    <mergeCell ref="Y33:Y35"/>
    <mergeCell ref="Z33:Z35"/>
    <mergeCell ref="AA33:AA35"/>
    <mergeCell ref="AB33:AB35"/>
    <mergeCell ref="AC33:AC35"/>
    <mergeCell ref="AD33:AD35"/>
    <mergeCell ref="O33:O35"/>
    <mergeCell ref="P33:P35"/>
    <mergeCell ref="Q33:Q35"/>
    <mergeCell ref="R33:R35"/>
    <mergeCell ref="W33:W35"/>
    <mergeCell ref="X33:X35"/>
    <mergeCell ref="I33:I35"/>
    <mergeCell ref="J33:J35"/>
    <mergeCell ref="K33:K35"/>
    <mergeCell ref="L33:L35"/>
    <mergeCell ref="M33:M35"/>
    <mergeCell ref="N33:N35"/>
    <mergeCell ref="AL16:AL31"/>
    <mergeCell ref="AM16:AM31"/>
    <mergeCell ref="AN16:AN31"/>
    <mergeCell ref="AO16:AO31"/>
    <mergeCell ref="S29:S30"/>
    <mergeCell ref="D33:D35"/>
    <mergeCell ref="E33:E35"/>
    <mergeCell ref="F33:F35"/>
    <mergeCell ref="G33:G35"/>
    <mergeCell ref="H33:H35"/>
    <mergeCell ref="AF16:AF31"/>
    <mergeCell ref="AG16:AG31"/>
    <mergeCell ref="AH16:AH31"/>
    <mergeCell ref="AI16:AI31"/>
    <mergeCell ref="AJ16:AJ31"/>
    <mergeCell ref="AK16:AK31"/>
    <mergeCell ref="Z16:Z31"/>
    <mergeCell ref="AA16:AA31"/>
    <mergeCell ref="AB16:AB31"/>
    <mergeCell ref="AC16:AC31"/>
    <mergeCell ref="AD16:AD31"/>
    <mergeCell ref="AE16:AE31"/>
    <mergeCell ref="P16:P31"/>
    <mergeCell ref="Q16:Q31"/>
    <mergeCell ref="W16:W31"/>
    <mergeCell ref="X16:X31"/>
    <mergeCell ref="Y16:Y31"/>
    <mergeCell ref="J16:J31"/>
    <mergeCell ref="K16:K31"/>
    <mergeCell ref="L16:L31"/>
    <mergeCell ref="M16:M31"/>
    <mergeCell ref="N16:N31"/>
    <mergeCell ref="O16:O31"/>
    <mergeCell ref="D16:D31"/>
    <mergeCell ref="E16:F31"/>
    <mergeCell ref="G16:G31"/>
    <mergeCell ref="H16:H31"/>
    <mergeCell ref="I16:I31"/>
    <mergeCell ref="U7:U9"/>
    <mergeCell ref="V7:V9"/>
    <mergeCell ref="O7:O9"/>
    <mergeCell ref="P7:P9"/>
    <mergeCell ref="Q7:Q9"/>
    <mergeCell ref="R7:R9"/>
    <mergeCell ref="S7:S9"/>
    <mergeCell ref="T7:T9"/>
    <mergeCell ref="I7:I9"/>
    <mergeCell ref="J7:J9"/>
    <mergeCell ref="K7:K9"/>
    <mergeCell ref="L7:L9"/>
    <mergeCell ref="M7:M9"/>
    <mergeCell ref="N7:N9"/>
    <mergeCell ref="R16:R31"/>
    <mergeCell ref="AD8:AD9"/>
    <mergeCell ref="AE8:AE9"/>
    <mergeCell ref="AF8:AF9"/>
    <mergeCell ref="AG8:AG9"/>
    <mergeCell ref="AH8:AH9"/>
    <mergeCell ref="AI8:AI9"/>
    <mergeCell ref="AJ8:AJ9"/>
    <mergeCell ref="AK8:AK9"/>
    <mergeCell ref="AL8:AL9"/>
    <mergeCell ref="A1:AM4"/>
    <mergeCell ref="A5:K6"/>
    <mergeCell ref="M5:AO5"/>
    <mergeCell ref="X6:AK6"/>
    <mergeCell ref="A7:A9"/>
    <mergeCell ref="B7:C9"/>
    <mergeCell ref="D7:D9"/>
    <mergeCell ref="E7:F9"/>
    <mergeCell ref="G7:G9"/>
    <mergeCell ref="H7:H9"/>
    <mergeCell ref="AM7:AM9"/>
    <mergeCell ref="AN7:AN9"/>
    <mergeCell ref="AO7:AO9"/>
    <mergeCell ref="W8:W9"/>
    <mergeCell ref="X8:X9"/>
    <mergeCell ref="Y8:Y9"/>
    <mergeCell ref="Z8:Z9"/>
    <mergeCell ref="AA8:AA9"/>
    <mergeCell ref="AB8:AB9"/>
    <mergeCell ref="AC8:AC9"/>
    <mergeCell ref="W7:X7"/>
    <mergeCell ref="Y7:AB7"/>
    <mergeCell ref="AC7:AH7"/>
    <mergeCell ref="AI7:AK7"/>
  </mergeCells>
  <pageMargins left="0.7" right="0.7" top="0.75" bottom="0.75" header="0.3" footer="0.3"/>
  <pageSetup paperSize="9"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H182"/>
  <sheetViews>
    <sheetView showGridLines="0" zoomScale="60" zoomScaleNormal="60" workbookViewId="0">
      <selection sqref="A1:AM4"/>
    </sheetView>
  </sheetViews>
  <sheetFormatPr baseColWidth="10" defaultColWidth="11.42578125" defaultRowHeight="14.25" x14ac:dyDescent="0.2"/>
  <cols>
    <col min="1" max="1" width="14.28515625" style="1875" customWidth="1"/>
    <col min="2" max="2" width="5.42578125" style="458" customWidth="1"/>
    <col min="3" max="3" width="17.7109375" style="458" customWidth="1"/>
    <col min="4" max="4" width="15.85546875" style="458" customWidth="1"/>
    <col min="5" max="5" width="12.85546875" style="458" customWidth="1"/>
    <col min="6" max="6" width="6.7109375" style="458" customWidth="1"/>
    <col min="7" max="7" width="16.140625" style="1876" customWidth="1"/>
    <col min="8" max="8" width="17.42578125" style="1876" customWidth="1"/>
    <col min="9" max="9" width="35.85546875" style="1877" customWidth="1"/>
    <col min="10" max="10" width="46.28515625" style="1877" customWidth="1"/>
    <col min="11" max="11" width="25" style="1878" customWidth="1"/>
    <col min="12" max="12" width="42.7109375" style="1879" customWidth="1"/>
    <col min="13" max="13" width="27.42578125" style="1880" customWidth="1"/>
    <col min="14" max="14" width="37.140625" style="1877" customWidth="1"/>
    <col min="15" max="15" width="28.7109375" style="1881" customWidth="1"/>
    <col min="16" max="16" width="28.7109375" style="1882" customWidth="1"/>
    <col min="17" max="17" width="45.85546875" style="1877" customWidth="1"/>
    <col min="18" max="18" width="53.5703125" style="1877" customWidth="1"/>
    <col min="19" max="19" width="63.42578125" style="1883" customWidth="1"/>
    <col min="20" max="20" width="34.85546875" style="1882" customWidth="1"/>
    <col min="21" max="21" width="21.85546875" style="1885" customWidth="1"/>
    <col min="22" max="22" width="27.140625" style="1877" customWidth="1"/>
    <col min="23" max="37" width="9.7109375" style="1876" customWidth="1"/>
    <col min="38" max="38" width="11.140625" style="1876" customWidth="1"/>
    <col min="39" max="39" width="19.7109375" style="1886" customWidth="1"/>
    <col min="40" max="40" width="20.140625" style="1887" customWidth="1"/>
    <col min="41" max="41" width="30.42578125" style="1888" customWidth="1"/>
    <col min="42" max="42" width="30.85546875" style="458" customWidth="1"/>
    <col min="43" max="43" width="26" style="458" customWidth="1"/>
    <col min="44" max="44" width="22.28515625" style="458" customWidth="1"/>
    <col min="45" max="16384" width="11.42578125" style="458"/>
  </cols>
  <sheetData>
    <row r="1" spans="1:60" customFormat="1" ht="18" customHeight="1" x14ac:dyDescent="0.25">
      <c r="A1" s="2797" t="s">
        <v>1476</v>
      </c>
      <c r="B1" s="2797"/>
      <c r="C1" s="2797"/>
      <c r="D1" s="2797"/>
      <c r="E1" s="2797"/>
      <c r="F1" s="2797"/>
      <c r="G1" s="2797"/>
      <c r="H1" s="2797"/>
      <c r="I1" s="2797"/>
      <c r="J1" s="2797"/>
      <c r="K1" s="2797"/>
      <c r="L1" s="2797"/>
      <c r="M1" s="2797"/>
      <c r="N1" s="2797"/>
      <c r="O1" s="2797"/>
      <c r="P1" s="2797"/>
      <c r="Q1" s="2797"/>
      <c r="R1" s="2797"/>
      <c r="S1" s="2797"/>
      <c r="T1" s="2797"/>
      <c r="U1" s="2797"/>
      <c r="V1" s="2797"/>
      <c r="W1" s="2797"/>
      <c r="X1" s="2797"/>
      <c r="Y1" s="2797"/>
      <c r="Z1" s="2797"/>
      <c r="AA1" s="2797"/>
      <c r="AB1" s="2797"/>
      <c r="AC1" s="2797"/>
      <c r="AD1" s="2797"/>
      <c r="AE1" s="2797"/>
      <c r="AF1" s="2797"/>
      <c r="AG1" s="2797"/>
      <c r="AH1" s="2797"/>
      <c r="AI1" s="2797"/>
      <c r="AJ1" s="2797"/>
      <c r="AK1" s="2797"/>
      <c r="AL1" s="2797"/>
      <c r="AM1" s="2798"/>
      <c r="AN1" s="1612" t="s">
        <v>1</v>
      </c>
      <c r="AO1" s="181" t="s">
        <v>948</v>
      </c>
      <c r="AR1" s="180"/>
      <c r="AS1" s="180"/>
      <c r="AT1" s="180"/>
      <c r="AU1" s="180"/>
      <c r="AV1" s="180"/>
      <c r="AW1" s="180"/>
      <c r="AX1" s="180"/>
      <c r="AY1" s="180"/>
      <c r="AZ1" s="180"/>
      <c r="BA1" s="180"/>
      <c r="BB1" s="180"/>
      <c r="BC1" s="180"/>
      <c r="BD1" s="180"/>
      <c r="BE1" s="180"/>
      <c r="BF1" s="180"/>
      <c r="BG1" s="180"/>
      <c r="BH1" s="180"/>
    </row>
    <row r="2" spans="1:60" customFormat="1" ht="18" customHeight="1" x14ac:dyDescent="0.25">
      <c r="A2" s="2797"/>
      <c r="B2" s="2797"/>
      <c r="C2" s="2797"/>
      <c r="D2" s="2797"/>
      <c r="E2" s="2797"/>
      <c r="F2" s="2797"/>
      <c r="G2" s="2797"/>
      <c r="H2" s="2797"/>
      <c r="I2" s="2797"/>
      <c r="J2" s="2797"/>
      <c r="K2" s="2797"/>
      <c r="L2" s="2797"/>
      <c r="M2" s="2797"/>
      <c r="N2" s="2797"/>
      <c r="O2" s="2797"/>
      <c r="P2" s="2797"/>
      <c r="Q2" s="2797"/>
      <c r="R2" s="2797"/>
      <c r="S2" s="2797"/>
      <c r="T2" s="2797"/>
      <c r="U2" s="2797"/>
      <c r="V2" s="2797"/>
      <c r="W2" s="2797"/>
      <c r="X2" s="2797"/>
      <c r="Y2" s="2797"/>
      <c r="Z2" s="2797"/>
      <c r="AA2" s="2797"/>
      <c r="AB2" s="2797"/>
      <c r="AC2" s="2797"/>
      <c r="AD2" s="2797"/>
      <c r="AE2" s="2797"/>
      <c r="AF2" s="2797"/>
      <c r="AG2" s="2797"/>
      <c r="AH2" s="2797"/>
      <c r="AI2" s="2797"/>
      <c r="AJ2" s="2797"/>
      <c r="AK2" s="2797"/>
      <c r="AL2" s="2797"/>
      <c r="AM2" s="2798"/>
      <c r="AN2" s="1612" t="s">
        <v>3</v>
      </c>
      <c r="AO2" s="181" t="s">
        <v>4</v>
      </c>
      <c r="AR2" s="180"/>
      <c r="AS2" s="180"/>
      <c r="AT2" s="180"/>
      <c r="AU2" s="180"/>
      <c r="AV2" s="180"/>
      <c r="AW2" s="180"/>
      <c r="AX2" s="180"/>
      <c r="AY2" s="180"/>
      <c r="AZ2" s="180"/>
      <c r="BA2" s="180"/>
      <c r="BB2" s="180"/>
      <c r="BC2" s="180"/>
      <c r="BD2" s="180"/>
      <c r="BE2" s="180"/>
      <c r="BF2" s="180"/>
      <c r="BG2" s="180"/>
      <c r="BH2" s="180"/>
    </row>
    <row r="3" spans="1:60" customFormat="1" ht="18" customHeight="1" x14ac:dyDescent="0.25">
      <c r="A3" s="2797"/>
      <c r="B3" s="2797"/>
      <c r="C3" s="2797"/>
      <c r="D3" s="2797"/>
      <c r="E3" s="2797"/>
      <c r="F3" s="2797"/>
      <c r="G3" s="2797"/>
      <c r="H3" s="2797"/>
      <c r="I3" s="2797"/>
      <c r="J3" s="2797"/>
      <c r="K3" s="2797"/>
      <c r="L3" s="2797"/>
      <c r="M3" s="2797"/>
      <c r="N3" s="2797"/>
      <c r="O3" s="2797"/>
      <c r="P3" s="2797"/>
      <c r="Q3" s="2797"/>
      <c r="R3" s="2797"/>
      <c r="S3" s="2797"/>
      <c r="T3" s="2797"/>
      <c r="U3" s="2797"/>
      <c r="V3" s="2797"/>
      <c r="W3" s="2797"/>
      <c r="X3" s="2797"/>
      <c r="Y3" s="2797"/>
      <c r="Z3" s="2797"/>
      <c r="AA3" s="2797"/>
      <c r="AB3" s="2797"/>
      <c r="AC3" s="2797"/>
      <c r="AD3" s="2797"/>
      <c r="AE3" s="2797"/>
      <c r="AF3" s="2797"/>
      <c r="AG3" s="2797"/>
      <c r="AH3" s="2797"/>
      <c r="AI3" s="2797"/>
      <c r="AJ3" s="2797"/>
      <c r="AK3" s="2797"/>
      <c r="AL3" s="2797"/>
      <c r="AM3" s="2798"/>
      <c r="AN3" s="1612" t="s">
        <v>5</v>
      </c>
      <c r="AO3" s="1123" t="s">
        <v>6</v>
      </c>
      <c r="AR3" s="180"/>
      <c r="AS3" s="180"/>
      <c r="AT3" s="180"/>
      <c r="AU3" s="180"/>
      <c r="AV3" s="180"/>
      <c r="AW3" s="180"/>
      <c r="AX3" s="180"/>
      <c r="AY3" s="180"/>
      <c r="AZ3" s="180"/>
      <c r="BA3" s="180"/>
      <c r="BB3" s="180"/>
      <c r="BC3" s="180"/>
      <c r="BD3" s="180"/>
      <c r="BE3" s="180"/>
      <c r="BF3" s="180"/>
      <c r="BG3" s="180"/>
      <c r="BH3" s="180"/>
    </row>
    <row r="4" spans="1:60" customFormat="1" ht="18" customHeight="1" x14ac:dyDescent="0.25">
      <c r="A4" s="2799"/>
      <c r="B4" s="2799"/>
      <c r="C4" s="2799"/>
      <c r="D4" s="2799"/>
      <c r="E4" s="2799"/>
      <c r="F4" s="2799"/>
      <c r="G4" s="2799"/>
      <c r="H4" s="2799"/>
      <c r="I4" s="2799"/>
      <c r="J4" s="2799"/>
      <c r="K4" s="2799"/>
      <c r="L4" s="2799"/>
      <c r="M4" s="2799"/>
      <c r="N4" s="2799"/>
      <c r="O4" s="2799"/>
      <c r="P4" s="2799"/>
      <c r="Q4" s="2799"/>
      <c r="R4" s="2799"/>
      <c r="S4" s="2799"/>
      <c r="T4" s="2799"/>
      <c r="U4" s="2799"/>
      <c r="V4" s="2799"/>
      <c r="W4" s="2799"/>
      <c r="X4" s="2799"/>
      <c r="Y4" s="2799"/>
      <c r="Z4" s="2799"/>
      <c r="AA4" s="2799"/>
      <c r="AB4" s="2799"/>
      <c r="AC4" s="2799"/>
      <c r="AD4" s="2799"/>
      <c r="AE4" s="2799"/>
      <c r="AF4" s="2799"/>
      <c r="AG4" s="2799"/>
      <c r="AH4" s="2799"/>
      <c r="AI4" s="2799"/>
      <c r="AJ4" s="2799"/>
      <c r="AK4" s="2799"/>
      <c r="AL4" s="2799"/>
      <c r="AM4" s="2800"/>
      <c r="AN4" s="1612" t="s">
        <v>7</v>
      </c>
      <c r="AO4" s="1124" t="s">
        <v>8</v>
      </c>
      <c r="AR4" s="180"/>
      <c r="AS4" s="180"/>
      <c r="AT4" s="180"/>
      <c r="AU4" s="180"/>
      <c r="AV4" s="180"/>
      <c r="AW4" s="180"/>
      <c r="AX4" s="180"/>
      <c r="AY4" s="180"/>
      <c r="AZ4" s="180"/>
      <c r="BA4" s="180"/>
      <c r="BB4" s="180"/>
      <c r="BC4" s="180"/>
      <c r="BD4" s="180"/>
      <c r="BE4" s="180"/>
      <c r="BF4" s="180"/>
      <c r="BG4" s="180"/>
      <c r="BH4" s="180"/>
    </row>
    <row r="5" spans="1:60" customFormat="1" ht="22.5" customHeight="1" x14ac:dyDescent="0.25">
      <c r="A5" s="2235" t="s">
        <v>9</v>
      </c>
      <c r="B5" s="2235"/>
      <c r="C5" s="2235"/>
      <c r="D5" s="2235"/>
      <c r="E5" s="2235"/>
      <c r="F5" s="2235"/>
      <c r="G5" s="2235"/>
      <c r="H5" s="2235"/>
      <c r="I5" s="2235"/>
      <c r="J5" s="2235"/>
      <c r="K5" s="2235"/>
      <c r="L5" s="2236" t="s">
        <v>10</v>
      </c>
      <c r="M5" s="2236"/>
      <c r="N5" s="2236"/>
      <c r="O5" s="2236"/>
      <c r="P5" s="2236"/>
      <c r="Q5" s="2236"/>
      <c r="R5" s="2236"/>
      <c r="S5" s="2236"/>
      <c r="T5" s="2236"/>
      <c r="U5" s="2236"/>
      <c r="V5" s="2236"/>
      <c r="W5" s="2236"/>
      <c r="X5" s="2236"/>
      <c r="Y5" s="2236"/>
      <c r="Z5" s="2236"/>
      <c r="AA5" s="2236"/>
      <c r="AB5" s="2236"/>
      <c r="AC5" s="2236"/>
      <c r="AD5" s="2236"/>
      <c r="AE5" s="2236"/>
      <c r="AF5" s="2236"/>
      <c r="AG5" s="2236"/>
      <c r="AH5" s="2236"/>
      <c r="AI5" s="2236"/>
      <c r="AJ5" s="2236"/>
      <c r="AK5" s="2236"/>
      <c r="AL5" s="2236"/>
      <c r="AM5" s="2236"/>
      <c r="AN5" s="2236"/>
      <c r="AO5" s="2236"/>
      <c r="AP5" s="3"/>
      <c r="AQ5" s="3"/>
      <c r="AR5" s="3"/>
      <c r="AS5" s="3"/>
      <c r="AT5" s="3"/>
      <c r="AU5" s="3"/>
      <c r="AV5" s="3"/>
      <c r="AW5" s="3"/>
      <c r="AX5" s="3"/>
      <c r="AY5" s="3"/>
      <c r="AZ5" s="3"/>
      <c r="BA5" s="3"/>
      <c r="BB5" s="3"/>
      <c r="BC5" s="3"/>
      <c r="BD5" s="3"/>
      <c r="BE5" s="3"/>
      <c r="BF5" s="3"/>
      <c r="BG5" s="3"/>
      <c r="BH5" s="3"/>
    </row>
    <row r="6" spans="1:60" customFormat="1" ht="29.25" customHeight="1" x14ac:dyDescent="0.25">
      <c r="A6" s="2233"/>
      <c r="B6" s="2233"/>
      <c r="C6" s="2233"/>
      <c r="D6" s="2233"/>
      <c r="E6" s="2233"/>
      <c r="F6" s="2233"/>
      <c r="G6" s="2233"/>
      <c r="H6" s="2233"/>
      <c r="I6" s="2233"/>
      <c r="J6" s="2233"/>
      <c r="K6" s="2233"/>
      <c r="L6" s="7"/>
      <c r="M6" s="8"/>
      <c r="N6" s="1125"/>
      <c r="O6" s="1610"/>
      <c r="P6" s="8"/>
      <c r="Q6" s="1125"/>
      <c r="R6" s="1125"/>
      <c r="S6" s="1125"/>
      <c r="T6" s="8"/>
      <c r="U6" s="8"/>
      <c r="V6" s="8"/>
      <c r="W6" s="2801" t="s">
        <v>11</v>
      </c>
      <c r="X6" s="2802"/>
      <c r="Y6" s="2802"/>
      <c r="Z6" s="2802"/>
      <c r="AA6" s="2802"/>
      <c r="AB6" s="2802"/>
      <c r="AC6" s="2802"/>
      <c r="AD6" s="2802"/>
      <c r="AE6" s="2802"/>
      <c r="AF6" s="2802"/>
      <c r="AG6" s="2802"/>
      <c r="AH6" s="2802"/>
      <c r="AI6" s="2802"/>
      <c r="AJ6" s="2802"/>
      <c r="AK6" s="2802"/>
      <c r="AL6" s="2802"/>
      <c r="AM6" s="1610"/>
      <c r="AN6" s="1610"/>
      <c r="AO6" s="12"/>
      <c r="AP6" s="3"/>
      <c r="AQ6" s="3"/>
      <c r="AR6" s="3"/>
      <c r="AS6" s="3"/>
      <c r="AT6" s="3"/>
      <c r="AU6" s="3"/>
      <c r="AV6" s="3"/>
      <c r="AW6" s="3"/>
      <c r="AX6" s="3"/>
      <c r="AY6" s="3"/>
      <c r="AZ6" s="3"/>
      <c r="BA6" s="3"/>
      <c r="BB6" s="3"/>
      <c r="BC6" s="3"/>
      <c r="BD6" s="3"/>
      <c r="BE6" s="3"/>
      <c r="BF6" s="3"/>
      <c r="BG6" s="3"/>
      <c r="BH6" s="3"/>
    </row>
    <row r="7" spans="1:60" s="339" customFormat="1" ht="40.5" customHeight="1" x14ac:dyDescent="0.2">
      <c r="A7" s="2803" t="s">
        <v>12</v>
      </c>
      <c r="B7" s="2792" t="s">
        <v>13</v>
      </c>
      <c r="C7" s="2792"/>
      <c r="D7" s="2792" t="s">
        <v>12</v>
      </c>
      <c r="E7" s="2792" t="s">
        <v>14</v>
      </c>
      <c r="F7" s="2792"/>
      <c r="G7" s="2792" t="s">
        <v>12</v>
      </c>
      <c r="H7" s="2792" t="s">
        <v>289</v>
      </c>
      <c r="I7" s="2792" t="s">
        <v>15</v>
      </c>
      <c r="J7" s="2792" t="s">
        <v>16</v>
      </c>
      <c r="K7" s="2795" t="s">
        <v>17</v>
      </c>
      <c r="L7" s="2792" t="s">
        <v>18</v>
      </c>
      <c r="M7" s="2792" t="s">
        <v>19</v>
      </c>
      <c r="N7" s="2792" t="s">
        <v>10</v>
      </c>
      <c r="O7" s="2790" t="s">
        <v>20</v>
      </c>
      <c r="P7" s="2791" t="s">
        <v>21</v>
      </c>
      <c r="Q7" s="2792" t="s">
        <v>22</v>
      </c>
      <c r="R7" s="2792" t="s">
        <v>23</v>
      </c>
      <c r="S7" s="2792" t="s">
        <v>24</v>
      </c>
      <c r="T7" s="1729" t="s">
        <v>21</v>
      </c>
      <c r="U7" s="2793" t="s">
        <v>12</v>
      </c>
      <c r="V7" s="2788" t="s">
        <v>25</v>
      </c>
      <c r="W7" s="2185" t="s">
        <v>26</v>
      </c>
      <c r="X7" s="2186"/>
      <c r="Y7" s="2187" t="s">
        <v>27</v>
      </c>
      <c r="Z7" s="2188"/>
      <c r="AA7" s="2188"/>
      <c r="AB7" s="2188"/>
      <c r="AC7" s="2242" t="s">
        <v>28</v>
      </c>
      <c r="AD7" s="2243"/>
      <c r="AE7" s="2243"/>
      <c r="AF7" s="2243"/>
      <c r="AG7" s="2243"/>
      <c r="AH7" s="2243"/>
      <c r="AI7" s="2187" t="s">
        <v>29</v>
      </c>
      <c r="AJ7" s="2188"/>
      <c r="AK7" s="2188"/>
      <c r="AL7" s="1609" t="s">
        <v>30</v>
      </c>
      <c r="AM7" s="2805" t="s">
        <v>31</v>
      </c>
      <c r="AN7" s="2805" t="s">
        <v>32</v>
      </c>
      <c r="AO7" s="2807" t="s">
        <v>33</v>
      </c>
      <c r="AP7" s="1427"/>
      <c r="AQ7" s="1427"/>
      <c r="AR7" s="1427"/>
      <c r="AS7" s="1427"/>
      <c r="AT7" s="1427"/>
      <c r="AU7" s="1427"/>
      <c r="AV7" s="1427"/>
      <c r="AW7" s="1427"/>
      <c r="AX7" s="1427"/>
      <c r="AY7" s="1427"/>
      <c r="AZ7" s="1427"/>
      <c r="BA7" s="1427"/>
      <c r="BB7" s="1427"/>
      <c r="BC7" s="1427"/>
      <c r="BD7" s="1427"/>
      <c r="BE7" s="1427"/>
      <c r="BF7" s="1427"/>
    </row>
    <row r="8" spans="1:60" s="339" customFormat="1" ht="121.5" customHeight="1" x14ac:dyDescent="0.2">
      <c r="A8" s="2804"/>
      <c r="B8" s="2792"/>
      <c r="C8" s="2792"/>
      <c r="D8" s="2792"/>
      <c r="E8" s="2792"/>
      <c r="F8" s="2792"/>
      <c r="G8" s="2792"/>
      <c r="H8" s="2792"/>
      <c r="I8" s="2792"/>
      <c r="J8" s="2792"/>
      <c r="K8" s="2796"/>
      <c r="L8" s="2792"/>
      <c r="M8" s="2792"/>
      <c r="N8" s="2792"/>
      <c r="O8" s="2790"/>
      <c r="P8" s="2791"/>
      <c r="Q8" s="2792"/>
      <c r="R8" s="2792"/>
      <c r="S8" s="2792"/>
      <c r="T8" s="1728" t="s">
        <v>212</v>
      </c>
      <c r="U8" s="2793"/>
      <c r="V8" s="2789"/>
      <c r="W8" s="187" t="s">
        <v>35</v>
      </c>
      <c r="X8" s="188" t="s">
        <v>36</v>
      </c>
      <c r="Y8" s="187" t="s">
        <v>37</v>
      </c>
      <c r="Z8" s="187" t="s">
        <v>38</v>
      </c>
      <c r="AA8" s="187" t="s">
        <v>213</v>
      </c>
      <c r="AB8" s="187" t="s">
        <v>40</v>
      </c>
      <c r="AC8" s="187" t="s">
        <v>41</v>
      </c>
      <c r="AD8" s="187" t="s">
        <v>42</v>
      </c>
      <c r="AE8" s="187" t="s">
        <v>43</v>
      </c>
      <c r="AF8" s="187" t="s">
        <v>44</v>
      </c>
      <c r="AG8" s="187" t="s">
        <v>45</v>
      </c>
      <c r="AH8" s="187" t="s">
        <v>46</v>
      </c>
      <c r="AI8" s="187" t="s">
        <v>47</v>
      </c>
      <c r="AJ8" s="187" t="s">
        <v>48</v>
      </c>
      <c r="AK8" s="187" t="s">
        <v>49</v>
      </c>
      <c r="AL8" s="187" t="s">
        <v>30</v>
      </c>
      <c r="AM8" s="2806"/>
      <c r="AN8" s="2806"/>
      <c r="AO8" s="2808"/>
      <c r="AP8" s="1427"/>
      <c r="AQ8" s="1427"/>
      <c r="AR8" s="1427"/>
      <c r="AS8" s="1427"/>
      <c r="AT8" s="1427"/>
      <c r="AU8" s="1427"/>
      <c r="AV8" s="1427"/>
      <c r="AW8" s="1427"/>
      <c r="AX8" s="1427"/>
      <c r="AY8" s="1427"/>
      <c r="AZ8" s="1427"/>
      <c r="BA8" s="1427"/>
      <c r="BB8" s="1427"/>
      <c r="BC8" s="1427"/>
      <c r="BD8" s="1427"/>
      <c r="BE8" s="1427"/>
      <c r="BF8" s="1427"/>
    </row>
    <row r="9" spans="1:60" s="339" customFormat="1" ht="25.5" customHeight="1" x14ac:dyDescent="0.2">
      <c r="A9" s="190">
        <v>1</v>
      </c>
      <c r="B9" s="1730" t="s">
        <v>1477</v>
      </c>
      <c r="C9" s="1730"/>
      <c r="D9" s="194"/>
      <c r="E9" s="194"/>
      <c r="F9" s="194"/>
      <c r="G9" s="292"/>
      <c r="H9" s="292"/>
      <c r="I9" s="193"/>
      <c r="J9" s="193"/>
      <c r="K9" s="194"/>
      <c r="L9" s="1480"/>
      <c r="M9" s="292"/>
      <c r="N9" s="193"/>
      <c r="O9" s="1731"/>
      <c r="P9" s="1732"/>
      <c r="Q9" s="193"/>
      <c r="R9" s="193"/>
      <c r="S9" s="1733"/>
      <c r="T9" s="1734"/>
      <c r="U9" s="1735"/>
      <c r="V9" s="193"/>
      <c r="W9" s="292"/>
      <c r="X9" s="292"/>
      <c r="Y9" s="292"/>
      <c r="Z9" s="292"/>
      <c r="AA9" s="292"/>
      <c r="AB9" s="292"/>
      <c r="AC9" s="292"/>
      <c r="AD9" s="292"/>
      <c r="AE9" s="292"/>
      <c r="AF9" s="292"/>
      <c r="AG9" s="292"/>
      <c r="AH9" s="292"/>
      <c r="AI9" s="292"/>
      <c r="AJ9" s="292"/>
      <c r="AK9" s="292"/>
      <c r="AL9" s="292"/>
      <c r="AM9" s="1736"/>
      <c r="AN9" s="1736"/>
      <c r="AO9" s="1737"/>
      <c r="AP9" s="1427"/>
      <c r="AQ9" s="1427"/>
      <c r="AR9" s="1427"/>
      <c r="AS9" s="1427"/>
      <c r="AT9" s="1427"/>
      <c r="AU9" s="1427"/>
      <c r="AV9" s="1427"/>
      <c r="AW9" s="1427"/>
      <c r="AX9" s="1427"/>
      <c r="AY9" s="1427"/>
      <c r="AZ9" s="1427"/>
      <c r="BA9" s="1427"/>
      <c r="BB9" s="1427"/>
      <c r="BC9" s="1427"/>
      <c r="BD9" s="1427"/>
      <c r="BE9" s="1427"/>
      <c r="BF9" s="1427"/>
    </row>
    <row r="10" spans="1:60" s="1427" customFormat="1" ht="27.75" customHeight="1" x14ac:dyDescent="0.2">
      <c r="A10" s="1738"/>
      <c r="B10" s="1613"/>
      <c r="C10" s="1739"/>
      <c r="D10" s="1740">
        <v>1</v>
      </c>
      <c r="E10" s="949" t="s">
        <v>1303</v>
      </c>
      <c r="F10" s="676"/>
      <c r="G10" s="677"/>
      <c r="H10" s="677"/>
      <c r="I10" s="676"/>
      <c r="J10" s="676"/>
      <c r="K10" s="220"/>
      <c r="L10" s="1571"/>
      <c r="M10" s="677"/>
      <c r="N10" s="676"/>
      <c r="O10" s="1741"/>
      <c r="P10" s="1742"/>
      <c r="Q10" s="676"/>
      <c r="R10" s="676"/>
      <c r="S10" s="1003"/>
      <c r="T10" s="1743"/>
      <c r="U10" s="1744"/>
      <c r="V10" s="676"/>
      <c r="W10" s="677"/>
      <c r="X10" s="677"/>
      <c r="Y10" s="677"/>
      <c r="Z10" s="677"/>
      <c r="AA10" s="677"/>
      <c r="AB10" s="677"/>
      <c r="AC10" s="677"/>
      <c r="AD10" s="677"/>
      <c r="AE10" s="677"/>
      <c r="AF10" s="677"/>
      <c r="AG10" s="677"/>
      <c r="AH10" s="677"/>
      <c r="AI10" s="677"/>
      <c r="AJ10" s="677"/>
      <c r="AK10" s="677"/>
      <c r="AL10" s="677"/>
      <c r="AM10" s="1745"/>
      <c r="AN10" s="1745"/>
      <c r="AO10" s="1746"/>
    </row>
    <row r="11" spans="1:60" s="1427" customFormat="1" ht="67.5" customHeight="1" x14ac:dyDescent="0.2">
      <c r="A11" s="1747"/>
      <c r="B11" s="1750"/>
      <c r="C11" s="1679"/>
      <c r="D11" s="2748"/>
      <c r="E11" s="2784"/>
      <c r="F11" s="2785"/>
      <c r="G11" s="2206">
        <v>1202004</v>
      </c>
      <c r="H11" s="2206" t="s">
        <v>1478</v>
      </c>
      <c r="I11" s="2247" t="s">
        <v>1479</v>
      </c>
      <c r="J11" s="2247" t="s">
        <v>978</v>
      </c>
      <c r="K11" s="2206">
        <v>12</v>
      </c>
      <c r="L11" s="2206" t="s">
        <v>1480</v>
      </c>
      <c r="M11" s="2206" t="s">
        <v>1481</v>
      </c>
      <c r="N11" s="2247" t="s">
        <v>1482</v>
      </c>
      <c r="O11" s="2782">
        <f>SUM(T11:T17)/P11</f>
        <v>1</v>
      </c>
      <c r="P11" s="2783">
        <f>SUM(T11:T17)</f>
        <v>112128400</v>
      </c>
      <c r="Q11" s="2247" t="s">
        <v>1483</v>
      </c>
      <c r="R11" s="2776" t="s">
        <v>1484</v>
      </c>
      <c r="S11" s="2794" t="s">
        <v>1485</v>
      </c>
      <c r="T11" s="1938">
        <v>20128400</v>
      </c>
      <c r="U11" s="1749">
        <v>88</v>
      </c>
      <c r="V11" s="1632" t="s">
        <v>466</v>
      </c>
      <c r="W11" s="2413">
        <v>1018</v>
      </c>
      <c r="X11" s="2413">
        <v>982</v>
      </c>
      <c r="Y11" s="2413">
        <v>466</v>
      </c>
      <c r="Z11" s="2413">
        <v>152</v>
      </c>
      <c r="AA11" s="2413">
        <v>1063</v>
      </c>
      <c r="AB11" s="2413">
        <v>319</v>
      </c>
      <c r="AC11" s="2413">
        <v>0</v>
      </c>
      <c r="AD11" s="2413">
        <v>0</v>
      </c>
      <c r="AE11" s="2413">
        <v>0</v>
      </c>
      <c r="AF11" s="2413">
        <v>0</v>
      </c>
      <c r="AG11" s="2413">
        <v>0</v>
      </c>
      <c r="AH11" s="2413">
        <v>0</v>
      </c>
      <c r="AI11" s="2413">
        <v>0</v>
      </c>
      <c r="AJ11" s="2413">
        <v>0</v>
      </c>
      <c r="AK11" s="2413">
        <v>0</v>
      </c>
      <c r="AL11" s="2405">
        <f>W11+X11</f>
        <v>2000</v>
      </c>
      <c r="AM11" s="2604">
        <v>44071</v>
      </c>
      <c r="AN11" s="2604">
        <v>44195</v>
      </c>
      <c r="AO11" s="2650" t="s">
        <v>1486</v>
      </c>
    </row>
    <row r="12" spans="1:60" s="1427" customFormat="1" ht="44.25" customHeight="1" x14ac:dyDescent="0.2">
      <c r="A12" s="1747"/>
      <c r="B12" s="1750"/>
      <c r="C12" s="1679"/>
      <c r="D12" s="2749"/>
      <c r="E12" s="2751"/>
      <c r="F12" s="2786"/>
      <c r="G12" s="2206"/>
      <c r="H12" s="2206"/>
      <c r="I12" s="2247"/>
      <c r="J12" s="2247"/>
      <c r="K12" s="2206"/>
      <c r="L12" s="2206"/>
      <c r="M12" s="2206"/>
      <c r="N12" s="2247"/>
      <c r="O12" s="2782"/>
      <c r="P12" s="2783"/>
      <c r="Q12" s="2247"/>
      <c r="R12" s="2776"/>
      <c r="S12" s="2794"/>
      <c r="T12" s="1938">
        <v>7800000</v>
      </c>
      <c r="U12" s="1749">
        <v>20</v>
      </c>
      <c r="V12" s="1632" t="s">
        <v>70</v>
      </c>
      <c r="W12" s="2413"/>
      <c r="X12" s="2413"/>
      <c r="Y12" s="2413"/>
      <c r="Z12" s="2413"/>
      <c r="AA12" s="2413"/>
      <c r="AB12" s="2413"/>
      <c r="AC12" s="2413"/>
      <c r="AD12" s="2413"/>
      <c r="AE12" s="2413"/>
      <c r="AF12" s="2413"/>
      <c r="AG12" s="2413"/>
      <c r="AH12" s="2413"/>
      <c r="AI12" s="2413"/>
      <c r="AJ12" s="2413"/>
      <c r="AK12" s="2413"/>
      <c r="AL12" s="2406"/>
      <c r="AM12" s="2605"/>
      <c r="AN12" s="2605"/>
      <c r="AO12" s="2651"/>
    </row>
    <row r="13" spans="1:60" s="1427" customFormat="1" ht="68.25" customHeight="1" x14ac:dyDescent="0.2">
      <c r="A13" s="1747"/>
      <c r="B13" s="1750"/>
      <c r="C13" s="1679"/>
      <c r="D13" s="2749"/>
      <c r="E13" s="2751"/>
      <c r="F13" s="2786"/>
      <c r="G13" s="2206"/>
      <c r="H13" s="2206"/>
      <c r="I13" s="2247"/>
      <c r="J13" s="2247"/>
      <c r="K13" s="2206"/>
      <c r="L13" s="2206"/>
      <c r="M13" s="2206"/>
      <c r="N13" s="2247"/>
      <c r="O13" s="2782"/>
      <c r="P13" s="2783"/>
      <c r="Q13" s="2247"/>
      <c r="R13" s="2776"/>
      <c r="S13" s="1751" t="s">
        <v>1487</v>
      </c>
      <c r="T13" s="1939">
        <v>15000000</v>
      </c>
      <c r="U13" s="1749">
        <v>20</v>
      </c>
      <c r="V13" s="1632" t="s">
        <v>70</v>
      </c>
      <c r="W13" s="2413"/>
      <c r="X13" s="2413"/>
      <c r="Y13" s="2413"/>
      <c r="Z13" s="2413"/>
      <c r="AA13" s="2413"/>
      <c r="AB13" s="2413"/>
      <c r="AC13" s="2413"/>
      <c r="AD13" s="2413"/>
      <c r="AE13" s="2413"/>
      <c r="AF13" s="2413"/>
      <c r="AG13" s="2413"/>
      <c r="AH13" s="2413"/>
      <c r="AI13" s="2413"/>
      <c r="AJ13" s="2413"/>
      <c r="AK13" s="2413"/>
      <c r="AL13" s="2406"/>
      <c r="AM13" s="2605"/>
      <c r="AN13" s="2605"/>
      <c r="AO13" s="2651"/>
    </row>
    <row r="14" spans="1:60" s="1427" customFormat="1" ht="56.25" customHeight="1" x14ac:dyDescent="0.2">
      <c r="A14" s="1747"/>
      <c r="B14" s="1750"/>
      <c r="C14" s="1679"/>
      <c r="D14" s="2749"/>
      <c r="E14" s="2751"/>
      <c r="F14" s="2786"/>
      <c r="G14" s="2206"/>
      <c r="H14" s="2206"/>
      <c r="I14" s="2247"/>
      <c r="J14" s="2247"/>
      <c r="K14" s="2206"/>
      <c r="L14" s="2206"/>
      <c r="M14" s="2206"/>
      <c r="N14" s="2247"/>
      <c r="O14" s="2782"/>
      <c r="P14" s="2783"/>
      <c r="Q14" s="2247"/>
      <c r="R14" s="2776"/>
      <c r="S14" s="1752" t="s">
        <v>1488</v>
      </c>
      <c r="T14" s="1939">
        <v>15000000</v>
      </c>
      <c r="U14" s="1749">
        <v>20</v>
      </c>
      <c r="V14" s="1632" t="s">
        <v>70</v>
      </c>
      <c r="W14" s="2413"/>
      <c r="X14" s="2413"/>
      <c r="Y14" s="2413"/>
      <c r="Z14" s="2413"/>
      <c r="AA14" s="2413"/>
      <c r="AB14" s="2413"/>
      <c r="AC14" s="2413"/>
      <c r="AD14" s="2413"/>
      <c r="AE14" s="2413"/>
      <c r="AF14" s="2413"/>
      <c r="AG14" s="2413"/>
      <c r="AH14" s="2413"/>
      <c r="AI14" s="2413"/>
      <c r="AJ14" s="2413"/>
      <c r="AK14" s="2413"/>
      <c r="AL14" s="2406"/>
      <c r="AM14" s="2605"/>
      <c r="AN14" s="2605"/>
      <c r="AO14" s="2651"/>
    </row>
    <row r="15" spans="1:60" s="1427" customFormat="1" ht="57.75" customHeight="1" x14ac:dyDescent="0.2">
      <c r="A15" s="1747"/>
      <c r="B15" s="1750"/>
      <c r="C15" s="1679"/>
      <c r="D15" s="2749"/>
      <c r="E15" s="2751"/>
      <c r="F15" s="2786"/>
      <c r="G15" s="2206"/>
      <c r="H15" s="2206"/>
      <c r="I15" s="2247"/>
      <c r="J15" s="2247"/>
      <c r="K15" s="2206"/>
      <c r="L15" s="2206"/>
      <c r="M15" s="2206"/>
      <c r="N15" s="2247"/>
      <c r="O15" s="2782"/>
      <c r="P15" s="2783"/>
      <c r="Q15" s="2247"/>
      <c r="R15" s="2776"/>
      <c r="S15" s="1752" t="s">
        <v>1489</v>
      </c>
      <c r="T15" s="1939">
        <v>23000000</v>
      </c>
      <c r="U15" s="1749">
        <v>20</v>
      </c>
      <c r="V15" s="1632" t="s">
        <v>70</v>
      </c>
      <c r="W15" s="2413"/>
      <c r="X15" s="2413"/>
      <c r="Y15" s="2413"/>
      <c r="Z15" s="2413"/>
      <c r="AA15" s="2413"/>
      <c r="AB15" s="2413"/>
      <c r="AC15" s="2413"/>
      <c r="AD15" s="2413"/>
      <c r="AE15" s="2413"/>
      <c r="AF15" s="2413"/>
      <c r="AG15" s="2413"/>
      <c r="AH15" s="2413"/>
      <c r="AI15" s="2413"/>
      <c r="AJ15" s="2413"/>
      <c r="AK15" s="2413"/>
      <c r="AL15" s="2406"/>
      <c r="AM15" s="2605"/>
      <c r="AN15" s="2605"/>
      <c r="AO15" s="2651"/>
    </row>
    <row r="16" spans="1:60" s="1427" customFormat="1" ht="66.75" customHeight="1" x14ac:dyDescent="0.2">
      <c r="A16" s="1747"/>
      <c r="B16" s="1750"/>
      <c r="C16" s="1679"/>
      <c r="D16" s="2749"/>
      <c r="E16" s="2751"/>
      <c r="F16" s="2786"/>
      <c r="G16" s="2206"/>
      <c r="H16" s="2206"/>
      <c r="I16" s="2247"/>
      <c r="J16" s="2247"/>
      <c r="K16" s="2206"/>
      <c r="L16" s="2206"/>
      <c r="M16" s="2206"/>
      <c r="N16" s="2247"/>
      <c r="O16" s="2782"/>
      <c r="P16" s="2783"/>
      <c r="Q16" s="2247"/>
      <c r="R16" s="2776"/>
      <c r="S16" s="1752" t="s">
        <v>1490</v>
      </c>
      <c r="T16" s="1939">
        <v>20000000</v>
      </c>
      <c r="U16" s="1753">
        <v>20</v>
      </c>
      <c r="V16" s="1632" t="s">
        <v>70</v>
      </c>
      <c r="W16" s="2413"/>
      <c r="X16" s="2413"/>
      <c r="Y16" s="2413"/>
      <c r="Z16" s="2413"/>
      <c r="AA16" s="2413"/>
      <c r="AB16" s="2413"/>
      <c r="AC16" s="2413"/>
      <c r="AD16" s="2413"/>
      <c r="AE16" s="2413"/>
      <c r="AF16" s="2413"/>
      <c r="AG16" s="2413"/>
      <c r="AH16" s="2413"/>
      <c r="AI16" s="2413"/>
      <c r="AJ16" s="2413"/>
      <c r="AK16" s="2413"/>
      <c r="AL16" s="2406"/>
      <c r="AM16" s="2605"/>
      <c r="AN16" s="2605"/>
      <c r="AO16" s="2651"/>
    </row>
    <row r="17" spans="1:41" s="1427" customFormat="1" ht="63.75" customHeight="1" x14ac:dyDescent="0.2">
      <c r="A17" s="1747"/>
      <c r="B17" s="1750"/>
      <c r="C17" s="1679"/>
      <c r="D17" s="2750"/>
      <c r="E17" s="2768"/>
      <c r="F17" s="2787"/>
      <c r="G17" s="2206"/>
      <c r="H17" s="2206"/>
      <c r="I17" s="2247"/>
      <c r="J17" s="2247"/>
      <c r="K17" s="2206"/>
      <c r="L17" s="2206"/>
      <c r="M17" s="2206"/>
      <c r="N17" s="2247"/>
      <c r="O17" s="2782"/>
      <c r="P17" s="2783"/>
      <c r="Q17" s="2247"/>
      <c r="R17" s="2776"/>
      <c r="S17" s="1752" t="s">
        <v>1491</v>
      </c>
      <c r="T17" s="1939">
        <v>11200000</v>
      </c>
      <c r="U17" s="1753">
        <v>20</v>
      </c>
      <c r="V17" s="1632" t="s">
        <v>70</v>
      </c>
      <c r="W17" s="2413"/>
      <c r="X17" s="2413"/>
      <c r="Y17" s="2413"/>
      <c r="Z17" s="2413"/>
      <c r="AA17" s="2413"/>
      <c r="AB17" s="2413"/>
      <c r="AC17" s="2413"/>
      <c r="AD17" s="2413"/>
      <c r="AE17" s="2413"/>
      <c r="AF17" s="2413"/>
      <c r="AG17" s="2413"/>
      <c r="AH17" s="2413"/>
      <c r="AI17" s="2413"/>
      <c r="AJ17" s="2413"/>
      <c r="AK17" s="2413"/>
      <c r="AL17" s="2407"/>
      <c r="AM17" s="2605"/>
      <c r="AN17" s="2605"/>
      <c r="AO17" s="2651"/>
    </row>
    <row r="18" spans="1:41" s="1427" customFormat="1" ht="27" customHeight="1" x14ac:dyDescent="0.2">
      <c r="A18" s="1754"/>
      <c r="B18" s="1755"/>
      <c r="C18" s="1756"/>
      <c r="D18" s="1757">
        <v>2</v>
      </c>
      <c r="E18" s="295" t="s">
        <v>1492</v>
      </c>
      <c r="F18" s="210"/>
      <c r="G18" s="1160"/>
      <c r="H18" s="1160"/>
      <c r="I18" s="676"/>
      <c r="J18" s="676"/>
      <c r="K18" s="220"/>
      <c r="L18" s="1571"/>
      <c r="M18" s="677"/>
      <c r="N18" s="676"/>
      <c r="O18" s="1250"/>
      <c r="P18" s="1932"/>
      <c r="Q18" s="676"/>
      <c r="R18" s="676"/>
      <c r="S18" s="1003"/>
      <c r="T18" s="1940"/>
      <c r="U18" s="1744"/>
      <c r="V18" s="1571"/>
      <c r="W18" s="677"/>
      <c r="X18" s="677"/>
      <c r="Y18" s="677"/>
      <c r="Z18" s="677"/>
      <c r="AA18" s="677"/>
      <c r="AB18" s="677"/>
      <c r="AC18" s="677"/>
      <c r="AD18" s="677"/>
      <c r="AE18" s="677"/>
      <c r="AF18" s="677"/>
      <c r="AG18" s="677"/>
      <c r="AH18" s="677"/>
      <c r="AI18" s="677"/>
      <c r="AJ18" s="677"/>
      <c r="AK18" s="677"/>
      <c r="AL18" s="677"/>
      <c r="AM18" s="1758"/>
      <c r="AN18" s="1758"/>
      <c r="AO18" s="1759"/>
    </row>
    <row r="19" spans="1:41" s="1427" customFormat="1" ht="96.75" customHeight="1" x14ac:dyDescent="0.2">
      <c r="A19" s="1760"/>
      <c r="B19" s="1761"/>
      <c r="C19" s="1762"/>
      <c r="D19" s="1763"/>
      <c r="E19" s="1763"/>
      <c r="F19" s="1763"/>
      <c r="G19" s="2206">
        <v>1203002</v>
      </c>
      <c r="H19" s="2206" t="s">
        <v>1493</v>
      </c>
      <c r="I19" s="2247" t="s">
        <v>1494</v>
      </c>
      <c r="J19" s="2247" t="s">
        <v>1495</v>
      </c>
      <c r="K19" s="2206">
        <v>10</v>
      </c>
      <c r="L19" s="2206" t="s">
        <v>1496</v>
      </c>
      <c r="M19" s="2301" t="s">
        <v>1497</v>
      </c>
      <c r="N19" s="2772" t="s">
        <v>1498</v>
      </c>
      <c r="O19" s="2781">
        <f>(T19+T20)/(P22+P82+P19)</f>
        <v>6.750451597756015E-3</v>
      </c>
      <c r="P19" s="2687">
        <f>SUM(T19:T20)</f>
        <v>15000000</v>
      </c>
      <c r="Q19" s="2247" t="s">
        <v>1499</v>
      </c>
      <c r="R19" s="2740" t="s">
        <v>1500</v>
      </c>
      <c r="S19" s="1838" t="s">
        <v>1501</v>
      </c>
      <c r="T19" s="1939">
        <v>6000000</v>
      </c>
      <c r="U19" s="1753">
        <v>20</v>
      </c>
      <c r="V19" s="1632" t="s">
        <v>278</v>
      </c>
      <c r="W19" s="2733">
        <v>295972</v>
      </c>
      <c r="X19" s="2733">
        <v>285580</v>
      </c>
      <c r="Y19" s="2733">
        <v>135545</v>
      </c>
      <c r="Z19" s="2733">
        <v>44254</v>
      </c>
      <c r="AA19" s="2733">
        <v>309146</v>
      </c>
      <c r="AB19" s="2733">
        <v>92607</v>
      </c>
      <c r="AC19" s="2733">
        <v>2145</v>
      </c>
      <c r="AD19" s="2733">
        <v>12718</v>
      </c>
      <c r="AE19" s="2733">
        <v>26</v>
      </c>
      <c r="AF19" s="2733">
        <v>12</v>
      </c>
      <c r="AG19" s="2733">
        <v>0</v>
      </c>
      <c r="AH19" s="2733">
        <v>0</v>
      </c>
      <c r="AI19" s="2733"/>
      <c r="AJ19" s="2733"/>
      <c r="AK19" s="2733"/>
      <c r="AL19" s="2734">
        <f>W19+X19</f>
        <v>581552</v>
      </c>
      <c r="AM19" s="2604"/>
      <c r="AN19" s="2604">
        <v>44195</v>
      </c>
      <c r="AO19" s="2650" t="s">
        <v>1486</v>
      </c>
    </row>
    <row r="20" spans="1:41" s="1427" customFormat="1" ht="104.25" customHeight="1" x14ac:dyDescent="0.2">
      <c r="A20" s="1760"/>
      <c r="B20" s="1761"/>
      <c r="C20" s="1762"/>
      <c r="D20" s="1764"/>
      <c r="E20" s="1764"/>
      <c r="F20" s="1764"/>
      <c r="G20" s="2319"/>
      <c r="H20" s="2206"/>
      <c r="I20" s="2247"/>
      <c r="J20" s="2247"/>
      <c r="K20" s="2206"/>
      <c r="L20" s="2206"/>
      <c r="M20" s="2301"/>
      <c r="N20" s="2772"/>
      <c r="O20" s="2781"/>
      <c r="P20" s="2687"/>
      <c r="Q20" s="2247"/>
      <c r="R20" s="2740"/>
      <c r="S20" s="1838" t="s">
        <v>1502</v>
      </c>
      <c r="T20" s="1939">
        <v>9000000</v>
      </c>
      <c r="U20" s="1753">
        <v>88</v>
      </c>
      <c r="V20" s="1632" t="s">
        <v>466</v>
      </c>
      <c r="W20" s="2733"/>
      <c r="X20" s="2733"/>
      <c r="Y20" s="2733"/>
      <c r="Z20" s="2733"/>
      <c r="AA20" s="2733"/>
      <c r="AB20" s="2733"/>
      <c r="AC20" s="2733"/>
      <c r="AD20" s="2733"/>
      <c r="AE20" s="2733"/>
      <c r="AF20" s="2733"/>
      <c r="AG20" s="2733"/>
      <c r="AH20" s="2733"/>
      <c r="AI20" s="2733"/>
      <c r="AJ20" s="2733"/>
      <c r="AK20" s="2733"/>
      <c r="AL20" s="2732"/>
      <c r="AM20" s="2605"/>
      <c r="AN20" s="2605"/>
      <c r="AO20" s="2651"/>
    </row>
    <row r="21" spans="1:41" s="1427" customFormat="1" ht="27" customHeight="1" x14ac:dyDescent="0.2">
      <c r="A21" s="1760"/>
      <c r="B21" s="1761"/>
      <c r="C21" s="1762"/>
      <c r="D21" s="1670">
        <v>3</v>
      </c>
      <c r="E21" s="207" t="s">
        <v>1503</v>
      </c>
      <c r="F21" s="208"/>
      <c r="G21" s="835"/>
      <c r="H21" s="1160"/>
      <c r="I21" s="676"/>
      <c r="J21" s="676"/>
      <c r="K21" s="677"/>
      <c r="L21" s="1571"/>
      <c r="M21" s="677"/>
      <c r="N21" s="676"/>
      <c r="O21" s="1250"/>
      <c r="P21" s="1932"/>
      <c r="Q21" s="676"/>
      <c r="R21" s="676"/>
      <c r="S21" s="1003"/>
      <c r="T21" s="1941"/>
      <c r="U21" s="1744"/>
      <c r="V21" s="1571"/>
      <c r="W21" s="677"/>
      <c r="X21" s="677"/>
      <c r="Y21" s="677"/>
      <c r="Z21" s="677"/>
      <c r="AA21" s="677"/>
      <c r="AB21" s="677"/>
      <c r="AC21" s="677"/>
      <c r="AD21" s="677"/>
      <c r="AE21" s="677"/>
      <c r="AF21" s="677"/>
      <c r="AG21" s="677"/>
      <c r="AH21" s="677"/>
      <c r="AI21" s="677"/>
      <c r="AJ21" s="677"/>
      <c r="AK21" s="677"/>
      <c r="AL21" s="677"/>
      <c r="AM21" s="1758"/>
      <c r="AN21" s="1758"/>
      <c r="AO21" s="1759"/>
    </row>
    <row r="22" spans="1:41" s="1427" customFormat="1" ht="50.25" customHeight="1" x14ac:dyDescent="0.2">
      <c r="A22" s="1760"/>
      <c r="B22" s="1761"/>
      <c r="C22" s="1762"/>
      <c r="D22" s="1763"/>
      <c r="E22" s="1763"/>
      <c r="F22" s="1763"/>
      <c r="G22" s="2206">
        <v>1206005</v>
      </c>
      <c r="H22" s="2206">
        <v>3.1</v>
      </c>
      <c r="I22" s="2247" t="s">
        <v>1504</v>
      </c>
      <c r="J22" s="2247" t="s">
        <v>1505</v>
      </c>
      <c r="K22" s="2206">
        <v>15</v>
      </c>
      <c r="L22" s="2206" t="s">
        <v>1506</v>
      </c>
      <c r="M22" s="2206" t="s">
        <v>1497</v>
      </c>
      <c r="N22" s="2772" t="s">
        <v>1498</v>
      </c>
      <c r="O22" s="2778">
        <f>(T22+T23+T24+T25)/(P19+P22+P82)</f>
        <v>6.750451597756015E-3</v>
      </c>
      <c r="P22" s="2687">
        <f>SUM(T22:T25)</f>
        <v>15000000</v>
      </c>
      <c r="Q22" s="2247" t="s">
        <v>1507</v>
      </c>
      <c r="R22" s="2776" t="s">
        <v>1500</v>
      </c>
      <c r="S22" s="2777" t="s">
        <v>1508</v>
      </c>
      <c r="T22" s="1939">
        <v>4500000</v>
      </c>
      <c r="U22" s="1753">
        <v>88</v>
      </c>
      <c r="V22" s="1652" t="s">
        <v>466</v>
      </c>
      <c r="W22" s="2733">
        <v>295972</v>
      </c>
      <c r="X22" s="2733">
        <v>285580</v>
      </c>
      <c r="Y22" s="2733">
        <v>135545</v>
      </c>
      <c r="Z22" s="2733">
        <v>44254</v>
      </c>
      <c r="AA22" s="2733">
        <v>309146</v>
      </c>
      <c r="AB22" s="2733">
        <v>92607</v>
      </c>
      <c r="AC22" s="2733">
        <v>2145</v>
      </c>
      <c r="AD22" s="2733">
        <v>12718</v>
      </c>
      <c r="AE22" s="2733">
        <v>26</v>
      </c>
      <c r="AF22" s="2733">
        <v>12</v>
      </c>
      <c r="AG22" s="2733">
        <v>0</v>
      </c>
      <c r="AH22" s="2733">
        <v>0</v>
      </c>
      <c r="AI22" s="2733"/>
      <c r="AJ22" s="2733"/>
      <c r="AK22" s="2733"/>
      <c r="AL22" s="2734">
        <f>W22+X22</f>
        <v>581552</v>
      </c>
      <c r="AM22" s="2604"/>
      <c r="AN22" s="2604">
        <v>44195</v>
      </c>
      <c r="AO22" s="2767" t="s">
        <v>1486</v>
      </c>
    </row>
    <row r="23" spans="1:41" s="1427" customFormat="1" ht="50.25" customHeight="1" x14ac:dyDescent="0.2">
      <c r="A23" s="1760"/>
      <c r="B23" s="1761"/>
      <c r="C23" s="1762"/>
      <c r="D23" s="1764"/>
      <c r="E23" s="1764"/>
      <c r="F23" s="1764"/>
      <c r="G23" s="2206"/>
      <c r="H23" s="2206"/>
      <c r="I23" s="2247"/>
      <c r="J23" s="2247"/>
      <c r="K23" s="2206"/>
      <c r="L23" s="2206"/>
      <c r="M23" s="2206"/>
      <c r="N23" s="2772"/>
      <c r="O23" s="2779"/>
      <c r="P23" s="2687"/>
      <c r="Q23" s="2247"/>
      <c r="R23" s="2776"/>
      <c r="S23" s="2665"/>
      <c r="T23" s="1939">
        <v>620000</v>
      </c>
      <c r="U23" s="1753">
        <v>20</v>
      </c>
      <c r="V23" s="1652" t="s">
        <v>278</v>
      </c>
      <c r="W23" s="2733"/>
      <c r="X23" s="2733"/>
      <c r="Y23" s="2733"/>
      <c r="Z23" s="2733"/>
      <c r="AA23" s="2733"/>
      <c r="AB23" s="2733"/>
      <c r="AC23" s="2733"/>
      <c r="AD23" s="2733"/>
      <c r="AE23" s="2733"/>
      <c r="AF23" s="2733"/>
      <c r="AG23" s="2733"/>
      <c r="AH23" s="2733"/>
      <c r="AI23" s="2733"/>
      <c r="AJ23" s="2733"/>
      <c r="AK23" s="2733"/>
      <c r="AL23" s="2774"/>
      <c r="AM23" s="2605"/>
      <c r="AN23" s="2605"/>
      <c r="AO23" s="2767"/>
    </row>
    <row r="24" spans="1:41" s="1427" customFormat="1" ht="63" customHeight="1" x14ac:dyDescent="0.2">
      <c r="A24" s="1760"/>
      <c r="B24" s="1761"/>
      <c r="C24" s="1762"/>
      <c r="D24" s="1764"/>
      <c r="E24" s="1764"/>
      <c r="F24" s="1764"/>
      <c r="G24" s="2206"/>
      <c r="H24" s="2206"/>
      <c r="I24" s="2247"/>
      <c r="J24" s="2247"/>
      <c r="K24" s="2206"/>
      <c r="L24" s="2206"/>
      <c r="M24" s="2206"/>
      <c r="N24" s="2772"/>
      <c r="O24" s="2779"/>
      <c r="P24" s="2687"/>
      <c r="Q24" s="2247"/>
      <c r="R24" s="2776"/>
      <c r="S24" s="1838" t="s">
        <v>1509</v>
      </c>
      <c r="T24" s="1939">
        <v>5380000</v>
      </c>
      <c r="U24" s="1753">
        <v>20</v>
      </c>
      <c r="V24" s="1652" t="s">
        <v>278</v>
      </c>
      <c r="W24" s="2733"/>
      <c r="X24" s="2733"/>
      <c r="Y24" s="2733"/>
      <c r="Z24" s="2733"/>
      <c r="AA24" s="2733"/>
      <c r="AB24" s="2733"/>
      <c r="AC24" s="2733"/>
      <c r="AD24" s="2733"/>
      <c r="AE24" s="2733"/>
      <c r="AF24" s="2733"/>
      <c r="AG24" s="2733"/>
      <c r="AH24" s="2733"/>
      <c r="AI24" s="2733"/>
      <c r="AJ24" s="2733"/>
      <c r="AK24" s="2733"/>
      <c r="AL24" s="2774"/>
      <c r="AM24" s="2605"/>
      <c r="AN24" s="2605"/>
      <c r="AO24" s="2767"/>
    </row>
    <row r="25" spans="1:41" s="1427" customFormat="1" ht="66" customHeight="1" x14ac:dyDescent="0.2">
      <c r="A25" s="1760"/>
      <c r="B25" s="1761"/>
      <c r="C25" s="1762"/>
      <c r="D25" s="1764"/>
      <c r="E25" s="1764"/>
      <c r="F25" s="1764"/>
      <c r="G25" s="2319"/>
      <c r="H25" s="2206"/>
      <c r="I25" s="2247"/>
      <c r="J25" s="2247"/>
      <c r="K25" s="2206"/>
      <c r="L25" s="2206"/>
      <c r="M25" s="2206"/>
      <c r="N25" s="2772"/>
      <c r="O25" s="2780"/>
      <c r="P25" s="2687"/>
      <c r="Q25" s="2247"/>
      <c r="R25" s="2776"/>
      <c r="S25" s="1838" t="s">
        <v>1510</v>
      </c>
      <c r="T25" s="1939">
        <v>4500000</v>
      </c>
      <c r="U25" s="1753">
        <v>88</v>
      </c>
      <c r="V25" s="1652" t="s">
        <v>466</v>
      </c>
      <c r="W25" s="2733"/>
      <c r="X25" s="2733"/>
      <c r="Y25" s="2733"/>
      <c r="Z25" s="2733"/>
      <c r="AA25" s="2733"/>
      <c r="AB25" s="2733"/>
      <c r="AC25" s="2733"/>
      <c r="AD25" s="2733"/>
      <c r="AE25" s="2733"/>
      <c r="AF25" s="2733"/>
      <c r="AG25" s="2733"/>
      <c r="AH25" s="2733"/>
      <c r="AI25" s="2733"/>
      <c r="AJ25" s="2733"/>
      <c r="AK25" s="2733"/>
      <c r="AL25" s="2732"/>
      <c r="AM25" s="2605"/>
      <c r="AN25" s="2605"/>
      <c r="AO25" s="2710"/>
    </row>
    <row r="26" spans="1:41" s="1427" customFormat="1" ht="27" customHeight="1" x14ac:dyDescent="0.2">
      <c r="A26" s="1760"/>
      <c r="B26" s="1761"/>
      <c r="C26" s="1762"/>
      <c r="D26" s="1670">
        <v>15</v>
      </c>
      <c r="E26" s="207" t="s">
        <v>578</v>
      </c>
      <c r="F26" s="208"/>
      <c r="G26" s="835"/>
      <c r="H26" s="1160"/>
      <c r="I26" s="676"/>
      <c r="J26" s="676"/>
      <c r="K26" s="677"/>
      <c r="L26" s="1571"/>
      <c r="M26" s="677"/>
      <c r="N26" s="676"/>
      <c r="O26" s="1250"/>
      <c r="P26" s="1932"/>
      <c r="Q26" s="676"/>
      <c r="R26" s="676"/>
      <c r="S26" s="1003"/>
      <c r="T26" s="1940"/>
      <c r="U26" s="1744"/>
      <c r="V26" s="1571"/>
      <c r="W26" s="677"/>
      <c r="X26" s="677"/>
      <c r="Y26" s="677"/>
      <c r="Z26" s="677"/>
      <c r="AA26" s="677"/>
      <c r="AB26" s="677"/>
      <c r="AC26" s="677"/>
      <c r="AD26" s="677"/>
      <c r="AE26" s="677"/>
      <c r="AF26" s="677"/>
      <c r="AG26" s="677"/>
      <c r="AH26" s="677"/>
      <c r="AI26" s="677"/>
      <c r="AJ26" s="677"/>
      <c r="AK26" s="677"/>
      <c r="AL26" s="677"/>
      <c r="AM26" s="1758"/>
      <c r="AN26" s="1758"/>
      <c r="AO26" s="1759"/>
    </row>
    <row r="27" spans="1:41" s="1427" customFormat="1" ht="60.75" customHeight="1" x14ac:dyDescent="0.2">
      <c r="A27" s="1760"/>
      <c r="B27" s="1761"/>
      <c r="C27" s="1761"/>
      <c r="D27" s="1765"/>
      <c r="E27" s="1763"/>
      <c r="F27" s="1766"/>
      <c r="G27" s="2775">
        <v>2201068</v>
      </c>
      <c r="H27" s="2524" t="s">
        <v>1511</v>
      </c>
      <c r="I27" s="2247" t="s">
        <v>1512</v>
      </c>
      <c r="J27" s="2303" t="s">
        <v>1513</v>
      </c>
      <c r="K27" s="2771">
        <v>40</v>
      </c>
      <c r="L27" s="2771" t="s">
        <v>1514</v>
      </c>
      <c r="M27" s="2414" t="s">
        <v>1515</v>
      </c>
      <c r="N27" s="2772" t="s">
        <v>1516</v>
      </c>
      <c r="O27" s="2773">
        <f>(T27+T28+T29)/(P27+P116+P119)</f>
        <v>0.35719198237322686</v>
      </c>
      <c r="P27" s="2687">
        <f>SUM(T27:T29)</f>
        <v>201866667</v>
      </c>
      <c r="Q27" s="2303" t="s">
        <v>1517</v>
      </c>
      <c r="R27" s="2770" t="s">
        <v>1518</v>
      </c>
      <c r="S27" s="1767" t="s">
        <v>1519</v>
      </c>
      <c r="T27" s="1939">
        <v>22551333</v>
      </c>
      <c r="U27" s="1753">
        <v>88</v>
      </c>
      <c r="V27" s="1691" t="s">
        <v>466</v>
      </c>
      <c r="W27" s="2733">
        <v>5089</v>
      </c>
      <c r="X27" s="2727">
        <v>4911</v>
      </c>
      <c r="Y27" s="2733">
        <v>2331</v>
      </c>
      <c r="Z27" s="2733">
        <v>761</v>
      </c>
      <c r="AA27" s="2733">
        <v>5316</v>
      </c>
      <c r="AB27" s="2733">
        <v>1592</v>
      </c>
      <c r="AC27" s="2733">
        <v>0</v>
      </c>
      <c r="AD27" s="2733">
        <v>0</v>
      </c>
      <c r="AE27" s="2733">
        <v>0</v>
      </c>
      <c r="AF27" s="2733">
        <v>0</v>
      </c>
      <c r="AG27" s="2733">
        <v>0</v>
      </c>
      <c r="AH27" s="2733">
        <v>0</v>
      </c>
      <c r="AI27" s="2733">
        <v>0</v>
      </c>
      <c r="AJ27" s="2733">
        <v>0</v>
      </c>
      <c r="AK27" s="2733">
        <v>0</v>
      </c>
      <c r="AL27" s="2733">
        <f>+W27+X27</f>
        <v>10000</v>
      </c>
      <c r="AM27" s="2604">
        <v>44057</v>
      </c>
      <c r="AN27" s="2604">
        <v>44195</v>
      </c>
      <c r="AO27" s="2767" t="s">
        <v>1486</v>
      </c>
    </row>
    <row r="28" spans="1:41" s="1427" customFormat="1" ht="57.75" customHeight="1" x14ac:dyDescent="0.2">
      <c r="A28" s="1760"/>
      <c r="B28" s="1761"/>
      <c r="C28" s="1761"/>
      <c r="D28" s="2749"/>
      <c r="E28" s="2751"/>
      <c r="F28" s="2681"/>
      <c r="G28" s="2775"/>
      <c r="H28" s="2524"/>
      <c r="I28" s="2247"/>
      <c r="J28" s="2303"/>
      <c r="K28" s="2771"/>
      <c r="L28" s="2771"/>
      <c r="M28" s="2414"/>
      <c r="N28" s="2772"/>
      <c r="O28" s="2773"/>
      <c r="P28" s="2687"/>
      <c r="Q28" s="2303"/>
      <c r="R28" s="2770"/>
      <c r="S28" s="1767" t="s">
        <v>1520</v>
      </c>
      <c r="T28" s="1939">
        <v>148315334</v>
      </c>
      <c r="U28" s="1753">
        <v>88</v>
      </c>
      <c r="V28" s="1691" t="s">
        <v>466</v>
      </c>
      <c r="W28" s="2733"/>
      <c r="X28" s="2727"/>
      <c r="Y28" s="2733"/>
      <c r="Z28" s="2733"/>
      <c r="AA28" s="2733"/>
      <c r="AB28" s="2733"/>
      <c r="AC28" s="2733"/>
      <c r="AD28" s="2733"/>
      <c r="AE28" s="2733"/>
      <c r="AF28" s="2733"/>
      <c r="AG28" s="2733"/>
      <c r="AH28" s="2733"/>
      <c r="AI28" s="2733"/>
      <c r="AJ28" s="2733"/>
      <c r="AK28" s="2733"/>
      <c r="AL28" s="2733"/>
      <c r="AM28" s="2605"/>
      <c r="AN28" s="2605"/>
      <c r="AO28" s="2767"/>
    </row>
    <row r="29" spans="1:41" s="1427" customFormat="1" ht="70.5" customHeight="1" x14ac:dyDescent="0.2">
      <c r="A29" s="1768"/>
      <c r="B29" s="1769"/>
      <c r="C29" s="1769"/>
      <c r="D29" s="2750"/>
      <c r="E29" s="2768"/>
      <c r="F29" s="2769"/>
      <c r="G29" s="2775"/>
      <c r="H29" s="2524"/>
      <c r="I29" s="2247"/>
      <c r="J29" s="2303"/>
      <c r="K29" s="2771"/>
      <c r="L29" s="2771"/>
      <c r="M29" s="2414"/>
      <c r="N29" s="2772"/>
      <c r="O29" s="2773"/>
      <c r="P29" s="2687"/>
      <c r="Q29" s="2303"/>
      <c r="R29" s="2770"/>
      <c r="S29" s="1767" t="s">
        <v>1521</v>
      </c>
      <c r="T29" s="1942">
        <v>31000000</v>
      </c>
      <c r="U29" s="1770">
        <v>88</v>
      </c>
      <c r="V29" s="1691"/>
      <c r="W29" s="2733"/>
      <c r="X29" s="2727"/>
      <c r="Y29" s="2733"/>
      <c r="Z29" s="2733"/>
      <c r="AA29" s="2733"/>
      <c r="AB29" s="2733"/>
      <c r="AC29" s="2733"/>
      <c r="AD29" s="2733"/>
      <c r="AE29" s="2733"/>
      <c r="AF29" s="2733"/>
      <c r="AG29" s="2733"/>
      <c r="AH29" s="2733"/>
      <c r="AI29" s="2733"/>
      <c r="AJ29" s="2733"/>
      <c r="AK29" s="2733"/>
      <c r="AL29" s="2733"/>
      <c r="AM29" s="2605"/>
      <c r="AN29" s="2605"/>
      <c r="AO29" s="2710"/>
    </row>
    <row r="30" spans="1:41" s="1427" customFormat="1" ht="27" customHeight="1" x14ac:dyDescent="0.2">
      <c r="A30" s="1761"/>
      <c r="B30" s="1761"/>
      <c r="C30" s="1761"/>
      <c r="D30" s="1697">
        <v>35</v>
      </c>
      <c r="E30" s="707" t="s">
        <v>1522</v>
      </c>
      <c r="F30" s="1771"/>
      <c r="G30" s="1520"/>
      <c r="H30" s="1520"/>
      <c r="I30" s="260"/>
      <c r="J30" s="260"/>
      <c r="K30" s="268"/>
      <c r="L30" s="965"/>
      <c r="M30" s="268"/>
      <c r="N30" s="260"/>
      <c r="O30" s="966"/>
      <c r="P30" s="1933"/>
      <c r="Q30" s="260"/>
      <c r="R30" s="260"/>
      <c r="S30" s="1772"/>
      <c r="T30" s="1943"/>
      <c r="U30" s="1773"/>
      <c r="V30" s="1571"/>
      <c r="W30" s="268"/>
      <c r="X30" s="268"/>
      <c r="Y30" s="268"/>
      <c r="Z30" s="268"/>
      <c r="AA30" s="268"/>
      <c r="AB30" s="268"/>
      <c r="AC30" s="268"/>
      <c r="AD30" s="268"/>
      <c r="AE30" s="268"/>
      <c r="AF30" s="268"/>
      <c r="AG30" s="268"/>
      <c r="AH30" s="268"/>
      <c r="AI30" s="268"/>
      <c r="AJ30" s="268"/>
      <c r="AK30" s="268"/>
      <c r="AL30" s="268"/>
      <c r="AM30" s="1774"/>
      <c r="AN30" s="1774"/>
      <c r="AO30" s="1775"/>
    </row>
    <row r="31" spans="1:41" s="1427" customFormat="1" ht="33" customHeight="1" x14ac:dyDescent="0.2">
      <c r="A31" s="1761"/>
      <c r="B31" s="1761"/>
      <c r="C31" s="1761"/>
      <c r="D31" s="2749"/>
      <c r="E31" s="2751"/>
      <c r="F31" s="2681"/>
      <c r="G31" s="2614">
        <v>4101023</v>
      </c>
      <c r="H31" s="2614" t="s">
        <v>1523</v>
      </c>
      <c r="I31" s="2693" t="s">
        <v>1524</v>
      </c>
      <c r="J31" s="2285" t="s">
        <v>1525</v>
      </c>
      <c r="K31" s="2190">
        <v>200</v>
      </c>
      <c r="L31" s="2190" t="s">
        <v>1526</v>
      </c>
      <c r="M31" s="2601" t="s">
        <v>1527</v>
      </c>
      <c r="N31" s="2397" t="s">
        <v>1528</v>
      </c>
      <c r="O31" s="2624">
        <f>SUM(T31:T51)/P31</f>
        <v>0.5944374890154972</v>
      </c>
      <c r="P31" s="2636">
        <f>SUM(T31:T76)</f>
        <v>522730761</v>
      </c>
      <c r="Q31" s="2285" t="s">
        <v>1529</v>
      </c>
      <c r="R31" s="2755" t="s">
        <v>1530</v>
      </c>
      <c r="S31" s="2418" t="s">
        <v>1531</v>
      </c>
      <c r="T31" s="1939">
        <v>12000000</v>
      </c>
      <c r="U31" s="1776">
        <v>88</v>
      </c>
      <c r="V31" s="1691" t="s">
        <v>1532</v>
      </c>
      <c r="W31" s="2765">
        <v>1018</v>
      </c>
      <c r="X31" s="2753">
        <v>982</v>
      </c>
      <c r="Y31" s="2753">
        <v>466</v>
      </c>
      <c r="Z31" s="2753">
        <v>152</v>
      </c>
      <c r="AA31" s="2753">
        <v>1063</v>
      </c>
      <c r="AB31" s="2753">
        <v>319</v>
      </c>
      <c r="AC31" s="2753">
        <v>0</v>
      </c>
      <c r="AD31" s="2753">
        <v>0</v>
      </c>
      <c r="AE31" s="2753">
        <v>0</v>
      </c>
      <c r="AF31" s="2753">
        <v>0</v>
      </c>
      <c r="AG31" s="2753">
        <v>0</v>
      </c>
      <c r="AH31" s="2753">
        <v>0</v>
      </c>
      <c r="AI31" s="2753">
        <v>0</v>
      </c>
      <c r="AJ31" s="2753">
        <v>0</v>
      </c>
      <c r="AK31" s="2753">
        <v>0</v>
      </c>
      <c r="AL31" s="2753">
        <f>+W31+X31</f>
        <v>2000</v>
      </c>
      <c r="AM31" s="2604">
        <v>44056</v>
      </c>
      <c r="AN31" s="2604">
        <v>44195</v>
      </c>
      <c r="AO31" s="2650" t="s">
        <v>1486</v>
      </c>
    </row>
    <row r="32" spans="1:41" s="1427" customFormat="1" ht="33" customHeight="1" x14ac:dyDescent="0.2">
      <c r="A32" s="1761"/>
      <c r="B32" s="1761"/>
      <c r="C32" s="1761"/>
      <c r="D32" s="1716"/>
      <c r="E32" s="1750"/>
      <c r="F32" s="1679"/>
      <c r="G32" s="2615"/>
      <c r="H32" s="2615"/>
      <c r="I32" s="2752"/>
      <c r="J32" s="2286"/>
      <c r="K32" s="2191"/>
      <c r="L32" s="2191"/>
      <c r="M32" s="2602"/>
      <c r="N32" s="2398"/>
      <c r="O32" s="2625"/>
      <c r="P32" s="2637"/>
      <c r="Q32" s="2286"/>
      <c r="R32" s="2756"/>
      <c r="S32" s="2744"/>
      <c r="T32" s="1939">
        <v>12000000</v>
      </c>
      <c r="U32" s="1753">
        <v>20</v>
      </c>
      <c r="V32" s="1691" t="s">
        <v>70</v>
      </c>
      <c r="W32" s="2766"/>
      <c r="X32" s="2754"/>
      <c r="Y32" s="2754"/>
      <c r="Z32" s="2754"/>
      <c r="AA32" s="2754"/>
      <c r="AB32" s="2754"/>
      <c r="AC32" s="2754"/>
      <c r="AD32" s="2754"/>
      <c r="AE32" s="2754"/>
      <c r="AF32" s="2754"/>
      <c r="AG32" s="2754"/>
      <c r="AH32" s="2754"/>
      <c r="AI32" s="2754"/>
      <c r="AJ32" s="2754"/>
      <c r="AK32" s="2754"/>
      <c r="AL32" s="2754"/>
      <c r="AM32" s="2605"/>
      <c r="AN32" s="2605"/>
      <c r="AO32" s="2651"/>
    </row>
    <row r="33" spans="1:41" s="1427" customFormat="1" ht="35.25" customHeight="1" x14ac:dyDescent="0.2">
      <c r="A33" s="1761"/>
      <c r="B33" s="1761"/>
      <c r="C33" s="1761"/>
      <c r="D33" s="1716"/>
      <c r="E33" s="1750"/>
      <c r="F33" s="1679"/>
      <c r="G33" s="2615"/>
      <c r="H33" s="2615"/>
      <c r="I33" s="2752"/>
      <c r="J33" s="2286"/>
      <c r="K33" s="2191"/>
      <c r="L33" s="2191"/>
      <c r="M33" s="2602"/>
      <c r="N33" s="2398"/>
      <c r="O33" s="2625"/>
      <c r="P33" s="2637"/>
      <c r="Q33" s="2286"/>
      <c r="R33" s="2756"/>
      <c r="S33" s="2418" t="s">
        <v>1533</v>
      </c>
      <c r="T33" s="1939">
        <v>14000000</v>
      </c>
      <c r="U33" s="1753">
        <v>88</v>
      </c>
      <c r="V33" s="1691" t="s">
        <v>466</v>
      </c>
      <c r="W33" s="2766"/>
      <c r="X33" s="2754"/>
      <c r="Y33" s="2754"/>
      <c r="Z33" s="2754"/>
      <c r="AA33" s="2754"/>
      <c r="AB33" s="2754"/>
      <c r="AC33" s="2754"/>
      <c r="AD33" s="2754"/>
      <c r="AE33" s="2754"/>
      <c r="AF33" s="2754"/>
      <c r="AG33" s="2754"/>
      <c r="AH33" s="2754"/>
      <c r="AI33" s="2754"/>
      <c r="AJ33" s="2754"/>
      <c r="AK33" s="2754"/>
      <c r="AL33" s="2754"/>
      <c r="AM33" s="2605"/>
      <c r="AN33" s="2605"/>
      <c r="AO33" s="2651"/>
    </row>
    <row r="34" spans="1:41" s="1427" customFormat="1" ht="33" customHeight="1" x14ac:dyDescent="0.2">
      <c r="A34" s="1761"/>
      <c r="B34" s="1761"/>
      <c r="C34" s="1761"/>
      <c r="D34" s="1716"/>
      <c r="E34" s="1750"/>
      <c r="F34" s="1679"/>
      <c r="G34" s="2615"/>
      <c r="H34" s="2615"/>
      <c r="I34" s="2752"/>
      <c r="J34" s="2752"/>
      <c r="K34" s="2417"/>
      <c r="L34" s="2762"/>
      <c r="M34" s="2602"/>
      <c r="N34" s="2398"/>
      <c r="O34" s="2764"/>
      <c r="P34" s="2637"/>
      <c r="Q34" s="2752"/>
      <c r="R34" s="2757"/>
      <c r="S34" s="2744"/>
      <c r="T34" s="1939">
        <f>2700000+17000000</f>
        <v>19700000</v>
      </c>
      <c r="U34" s="1753">
        <v>20</v>
      </c>
      <c r="V34" s="1691" t="s">
        <v>70</v>
      </c>
      <c r="W34" s="2766"/>
      <c r="X34" s="2754"/>
      <c r="Y34" s="2754"/>
      <c r="Z34" s="2754"/>
      <c r="AA34" s="2754"/>
      <c r="AB34" s="2754"/>
      <c r="AC34" s="2754"/>
      <c r="AD34" s="2754"/>
      <c r="AE34" s="2754"/>
      <c r="AF34" s="2754"/>
      <c r="AG34" s="2754"/>
      <c r="AH34" s="2754"/>
      <c r="AI34" s="2754"/>
      <c r="AJ34" s="2754"/>
      <c r="AK34" s="2754"/>
      <c r="AL34" s="2754"/>
      <c r="AM34" s="2605"/>
      <c r="AN34" s="2605"/>
      <c r="AO34" s="2651"/>
    </row>
    <row r="35" spans="1:41" s="1427" customFormat="1" ht="39.75" customHeight="1" x14ac:dyDescent="0.2">
      <c r="A35" s="1761"/>
      <c r="B35" s="1761"/>
      <c r="C35" s="1761"/>
      <c r="D35" s="1716"/>
      <c r="E35" s="1750"/>
      <c r="F35" s="1679"/>
      <c r="G35" s="2615"/>
      <c r="H35" s="2615"/>
      <c r="I35" s="2752"/>
      <c r="J35" s="2752"/>
      <c r="K35" s="2417"/>
      <c r="L35" s="2762"/>
      <c r="M35" s="2602"/>
      <c r="N35" s="2398"/>
      <c r="O35" s="2764"/>
      <c r="P35" s="2637"/>
      <c r="Q35" s="2752"/>
      <c r="R35" s="2757"/>
      <c r="S35" s="2418" t="s">
        <v>1534</v>
      </c>
      <c r="T35" s="1939">
        <v>27000000</v>
      </c>
      <c r="U35" s="1753">
        <v>88</v>
      </c>
      <c r="V35" s="1691" t="s">
        <v>466</v>
      </c>
      <c r="W35" s="2766"/>
      <c r="X35" s="2754"/>
      <c r="Y35" s="2754"/>
      <c r="Z35" s="2754"/>
      <c r="AA35" s="2754"/>
      <c r="AB35" s="2754"/>
      <c r="AC35" s="2754"/>
      <c r="AD35" s="2754"/>
      <c r="AE35" s="2754"/>
      <c r="AF35" s="2754"/>
      <c r="AG35" s="2754"/>
      <c r="AH35" s="2754"/>
      <c r="AI35" s="2754"/>
      <c r="AJ35" s="2754"/>
      <c r="AK35" s="2754"/>
      <c r="AL35" s="2754"/>
      <c r="AM35" s="2605"/>
      <c r="AN35" s="2605"/>
      <c r="AO35" s="2651"/>
    </row>
    <row r="36" spans="1:41" s="1427" customFormat="1" ht="47.25" customHeight="1" x14ac:dyDescent="0.2">
      <c r="A36" s="1761"/>
      <c r="B36" s="1761"/>
      <c r="C36" s="1761"/>
      <c r="D36" s="1716"/>
      <c r="E36" s="1750"/>
      <c r="F36" s="1679"/>
      <c r="G36" s="2615"/>
      <c r="H36" s="2615"/>
      <c r="I36" s="2752"/>
      <c r="J36" s="2752"/>
      <c r="K36" s="2417"/>
      <c r="L36" s="2762"/>
      <c r="M36" s="2602"/>
      <c r="N36" s="2398"/>
      <c r="O36" s="2764"/>
      <c r="P36" s="2637"/>
      <c r="Q36" s="2752"/>
      <c r="R36" s="2757"/>
      <c r="S36" s="2744"/>
      <c r="T36" s="1939">
        <f>6350000+27000000</f>
        <v>33350000</v>
      </c>
      <c r="U36" s="1753">
        <v>20</v>
      </c>
      <c r="V36" s="1691" t="s">
        <v>70</v>
      </c>
      <c r="W36" s="2766"/>
      <c r="X36" s="2754"/>
      <c r="Y36" s="2754"/>
      <c r="Z36" s="2754"/>
      <c r="AA36" s="2754"/>
      <c r="AB36" s="2754"/>
      <c r="AC36" s="2754"/>
      <c r="AD36" s="2754"/>
      <c r="AE36" s="2754"/>
      <c r="AF36" s="2754"/>
      <c r="AG36" s="2754"/>
      <c r="AH36" s="2754"/>
      <c r="AI36" s="2754"/>
      <c r="AJ36" s="2754"/>
      <c r="AK36" s="2754"/>
      <c r="AL36" s="2754"/>
      <c r="AM36" s="2605"/>
      <c r="AN36" s="2605"/>
      <c r="AO36" s="2651"/>
    </row>
    <row r="37" spans="1:41" s="1427" customFormat="1" ht="40.5" customHeight="1" x14ac:dyDescent="0.2">
      <c r="A37" s="1761"/>
      <c r="B37" s="1761"/>
      <c r="C37" s="1761"/>
      <c r="D37" s="1716"/>
      <c r="E37" s="1750"/>
      <c r="F37" s="1679"/>
      <c r="G37" s="2615"/>
      <c r="H37" s="2615"/>
      <c r="I37" s="2752"/>
      <c r="J37" s="2752"/>
      <c r="K37" s="2417"/>
      <c r="L37" s="2762"/>
      <c r="M37" s="2602"/>
      <c r="N37" s="2398"/>
      <c r="O37" s="2764"/>
      <c r="P37" s="2637"/>
      <c r="Q37" s="2752"/>
      <c r="R37" s="2757"/>
      <c r="S37" s="2418" t="s">
        <v>1535</v>
      </c>
      <c r="T37" s="1939">
        <v>12000000</v>
      </c>
      <c r="U37" s="1753">
        <v>88</v>
      </c>
      <c r="V37" s="1691" t="s">
        <v>466</v>
      </c>
      <c r="W37" s="2766"/>
      <c r="X37" s="2754"/>
      <c r="Y37" s="2754"/>
      <c r="Z37" s="2754"/>
      <c r="AA37" s="2754"/>
      <c r="AB37" s="2754"/>
      <c r="AC37" s="2754"/>
      <c r="AD37" s="2754"/>
      <c r="AE37" s="2754"/>
      <c r="AF37" s="2754"/>
      <c r="AG37" s="2754"/>
      <c r="AH37" s="2754"/>
      <c r="AI37" s="2754"/>
      <c r="AJ37" s="2754"/>
      <c r="AK37" s="2754"/>
      <c r="AL37" s="2754"/>
      <c r="AM37" s="2605"/>
      <c r="AN37" s="2605"/>
      <c r="AO37" s="2651"/>
    </row>
    <row r="38" spans="1:41" s="1427" customFormat="1" ht="45.75" customHeight="1" x14ac:dyDescent="0.2">
      <c r="A38" s="1761"/>
      <c r="B38" s="1761"/>
      <c r="C38" s="1761"/>
      <c r="D38" s="1716"/>
      <c r="E38" s="1750"/>
      <c r="F38" s="1679"/>
      <c r="G38" s="2615"/>
      <c r="H38" s="2615"/>
      <c r="I38" s="2752"/>
      <c r="J38" s="2752"/>
      <c r="K38" s="2417"/>
      <c r="L38" s="2762"/>
      <c r="M38" s="2602"/>
      <c r="N38" s="2398"/>
      <c r="O38" s="2764"/>
      <c r="P38" s="2637"/>
      <c r="Q38" s="2752"/>
      <c r="R38" s="2757"/>
      <c r="S38" s="2419"/>
      <c r="T38" s="1939">
        <f>2800000+12000000</f>
        <v>14800000</v>
      </c>
      <c r="U38" s="1753">
        <v>20</v>
      </c>
      <c r="V38" s="1691" t="s">
        <v>70</v>
      </c>
      <c r="W38" s="2766"/>
      <c r="X38" s="2754"/>
      <c r="Y38" s="2754"/>
      <c r="Z38" s="2754"/>
      <c r="AA38" s="2754"/>
      <c r="AB38" s="2754"/>
      <c r="AC38" s="2754"/>
      <c r="AD38" s="2754"/>
      <c r="AE38" s="2754"/>
      <c r="AF38" s="2754"/>
      <c r="AG38" s="2754"/>
      <c r="AH38" s="2754"/>
      <c r="AI38" s="2754"/>
      <c r="AJ38" s="2754"/>
      <c r="AK38" s="2754"/>
      <c r="AL38" s="2754"/>
      <c r="AM38" s="2605"/>
      <c r="AN38" s="2605"/>
      <c r="AO38" s="2651"/>
    </row>
    <row r="39" spans="1:41" s="1427" customFormat="1" ht="50.25" customHeight="1" x14ac:dyDescent="0.2">
      <c r="A39" s="1761"/>
      <c r="B39" s="1761"/>
      <c r="C39" s="1761"/>
      <c r="D39" s="1716"/>
      <c r="E39" s="1750"/>
      <c r="F39" s="1679"/>
      <c r="G39" s="2615"/>
      <c r="H39" s="2615"/>
      <c r="I39" s="2752"/>
      <c r="J39" s="2752"/>
      <c r="K39" s="2417"/>
      <c r="L39" s="2417"/>
      <c r="M39" s="2602"/>
      <c r="N39" s="2398"/>
      <c r="O39" s="2764"/>
      <c r="P39" s="2637"/>
      <c r="Q39" s="2752"/>
      <c r="R39" s="2758"/>
      <c r="S39" s="2724" t="s">
        <v>1536</v>
      </c>
      <c r="T39" s="1939">
        <v>16200000</v>
      </c>
      <c r="U39" s="1753">
        <v>88</v>
      </c>
      <c r="V39" s="1691" t="s">
        <v>466</v>
      </c>
      <c r="W39" s="2766"/>
      <c r="X39" s="2754"/>
      <c r="Y39" s="2754"/>
      <c r="Z39" s="2754"/>
      <c r="AA39" s="2754"/>
      <c r="AB39" s="2754"/>
      <c r="AC39" s="2754"/>
      <c r="AD39" s="2754"/>
      <c r="AE39" s="2754"/>
      <c r="AF39" s="2754"/>
      <c r="AG39" s="2754"/>
      <c r="AH39" s="2754"/>
      <c r="AI39" s="2754"/>
      <c r="AJ39" s="2754"/>
      <c r="AK39" s="2754"/>
      <c r="AL39" s="2754"/>
      <c r="AM39" s="2605"/>
      <c r="AN39" s="2605"/>
      <c r="AO39" s="2651"/>
    </row>
    <row r="40" spans="1:41" s="1427" customFormat="1" ht="34.5" customHeight="1" x14ac:dyDescent="0.2">
      <c r="A40" s="1761"/>
      <c r="B40" s="1761"/>
      <c r="C40" s="1761"/>
      <c r="D40" s="1716"/>
      <c r="E40" s="1750"/>
      <c r="F40" s="1679"/>
      <c r="G40" s="2615"/>
      <c r="H40" s="2615"/>
      <c r="I40" s="2752"/>
      <c r="J40" s="2752"/>
      <c r="K40" s="2417"/>
      <c r="L40" s="2417"/>
      <c r="M40" s="2602"/>
      <c r="N40" s="2398"/>
      <c r="O40" s="2764"/>
      <c r="P40" s="2637"/>
      <c r="Q40" s="2752"/>
      <c r="R40" s="2758"/>
      <c r="S40" s="2724"/>
      <c r="T40" s="1939">
        <v>31060761</v>
      </c>
      <c r="U40" s="1753">
        <v>20</v>
      </c>
      <c r="V40" s="1691" t="s">
        <v>70</v>
      </c>
      <c r="W40" s="2766"/>
      <c r="X40" s="2754"/>
      <c r="Y40" s="2754"/>
      <c r="Z40" s="2754"/>
      <c r="AA40" s="2754"/>
      <c r="AB40" s="2754"/>
      <c r="AC40" s="2754"/>
      <c r="AD40" s="2754"/>
      <c r="AE40" s="2754"/>
      <c r="AF40" s="2754"/>
      <c r="AG40" s="2754"/>
      <c r="AH40" s="2754"/>
      <c r="AI40" s="2754"/>
      <c r="AJ40" s="2754"/>
      <c r="AK40" s="2754"/>
      <c r="AL40" s="2754"/>
      <c r="AM40" s="2605"/>
      <c r="AN40" s="2605"/>
      <c r="AO40" s="2651"/>
    </row>
    <row r="41" spans="1:41" s="1427" customFormat="1" ht="42.75" customHeight="1" x14ac:dyDescent="0.2">
      <c r="A41" s="1761"/>
      <c r="B41" s="1761"/>
      <c r="C41" s="1761"/>
      <c r="D41" s="1716"/>
      <c r="E41" s="1750"/>
      <c r="F41" s="1679"/>
      <c r="G41" s="2615"/>
      <c r="H41" s="2615"/>
      <c r="I41" s="2752"/>
      <c r="J41" s="2752"/>
      <c r="K41" s="2417"/>
      <c r="L41" s="2417"/>
      <c r="M41" s="2602"/>
      <c r="N41" s="2398"/>
      <c r="O41" s="2764"/>
      <c r="P41" s="2637"/>
      <c r="Q41" s="2752"/>
      <c r="R41" s="2758"/>
      <c r="S41" s="2724" t="s">
        <v>1537</v>
      </c>
      <c r="T41" s="1939">
        <v>2500000</v>
      </c>
      <c r="U41" s="1753">
        <v>88</v>
      </c>
      <c r="V41" s="1691" t="s">
        <v>466</v>
      </c>
      <c r="W41" s="2766"/>
      <c r="X41" s="2754"/>
      <c r="Y41" s="2754"/>
      <c r="Z41" s="2754"/>
      <c r="AA41" s="2754"/>
      <c r="AB41" s="2754"/>
      <c r="AC41" s="2754"/>
      <c r="AD41" s="2754"/>
      <c r="AE41" s="2754"/>
      <c r="AF41" s="2754"/>
      <c r="AG41" s="2754"/>
      <c r="AH41" s="2754"/>
      <c r="AI41" s="2754"/>
      <c r="AJ41" s="2754"/>
      <c r="AK41" s="2754"/>
      <c r="AL41" s="2754"/>
      <c r="AM41" s="2605"/>
      <c r="AN41" s="2605"/>
      <c r="AO41" s="2651"/>
    </row>
    <row r="42" spans="1:41" s="1427" customFormat="1" ht="50.25" customHeight="1" x14ac:dyDescent="0.2">
      <c r="A42" s="1761"/>
      <c r="B42" s="1761"/>
      <c r="C42" s="1761"/>
      <c r="D42" s="1716"/>
      <c r="E42" s="1750"/>
      <c r="F42" s="1679"/>
      <c r="G42" s="2615"/>
      <c r="H42" s="2615"/>
      <c r="I42" s="2752"/>
      <c r="J42" s="2752"/>
      <c r="K42" s="2417"/>
      <c r="L42" s="2417"/>
      <c r="M42" s="2602"/>
      <c r="N42" s="2398"/>
      <c r="O42" s="2764"/>
      <c r="P42" s="2637"/>
      <c r="Q42" s="2752"/>
      <c r="R42" s="2758"/>
      <c r="S42" s="2724"/>
      <c r="T42" s="1939">
        <v>5000000</v>
      </c>
      <c r="U42" s="1753">
        <v>20</v>
      </c>
      <c r="V42" s="1691" t="s">
        <v>70</v>
      </c>
      <c r="W42" s="2766"/>
      <c r="X42" s="2754"/>
      <c r="Y42" s="2754"/>
      <c r="Z42" s="2754"/>
      <c r="AA42" s="2754"/>
      <c r="AB42" s="2754"/>
      <c r="AC42" s="2754"/>
      <c r="AD42" s="2754"/>
      <c r="AE42" s="2754"/>
      <c r="AF42" s="2754"/>
      <c r="AG42" s="2754"/>
      <c r="AH42" s="2754"/>
      <c r="AI42" s="2754"/>
      <c r="AJ42" s="2754"/>
      <c r="AK42" s="2754"/>
      <c r="AL42" s="2754"/>
      <c r="AM42" s="2605"/>
      <c r="AN42" s="2605"/>
      <c r="AO42" s="2651"/>
    </row>
    <row r="43" spans="1:41" s="1427" customFormat="1" ht="36.75" customHeight="1" x14ac:dyDescent="0.2">
      <c r="A43" s="1761"/>
      <c r="B43" s="1761"/>
      <c r="C43" s="1761"/>
      <c r="D43" s="1716"/>
      <c r="E43" s="1750"/>
      <c r="F43" s="1679"/>
      <c r="G43" s="2615"/>
      <c r="H43" s="2615"/>
      <c r="I43" s="2752"/>
      <c r="J43" s="2752"/>
      <c r="K43" s="2417"/>
      <c r="L43" s="2417"/>
      <c r="M43" s="2602"/>
      <c r="N43" s="2398"/>
      <c r="O43" s="2764"/>
      <c r="P43" s="2637"/>
      <c r="Q43" s="2752"/>
      <c r="R43" s="2758"/>
      <c r="S43" s="2724" t="s">
        <v>1538</v>
      </c>
      <c r="T43" s="1939">
        <v>17000000</v>
      </c>
      <c r="U43" s="1753">
        <v>88</v>
      </c>
      <c r="V43" s="1691" t="s">
        <v>466</v>
      </c>
      <c r="W43" s="2766"/>
      <c r="X43" s="2754"/>
      <c r="Y43" s="2754"/>
      <c r="Z43" s="2754"/>
      <c r="AA43" s="2754"/>
      <c r="AB43" s="2754"/>
      <c r="AC43" s="2754"/>
      <c r="AD43" s="2754"/>
      <c r="AE43" s="2754"/>
      <c r="AF43" s="2754"/>
      <c r="AG43" s="2754"/>
      <c r="AH43" s="2754"/>
      <c r="AI43" s="2754"/>
      <c r="AJ43" s="2754"/>
      <c r="AK43" s="2754"/>
      <c r="AL43" s="2754"/>
      <c r="AM43" s="2605"/>
      <c r="AN43" s="2605"/>
      <c r="AO43" s="2651"/>
    </row>
    <row r="44" spans="1:41" s="1427" customFormat="1" ht="31.5" customHeight="1" x14ac:dyDescent="0.2">
      <c r="A44" s="1761"/>
      <c r="B44" s="1761"/>
      <c r="C44" s="1761"/>
      <c r="D44" s="1716"/>
      <c r="E44" s="1750"/>
      <c r="F44" s="1679"/>
      <c r="G44" s="2615"/>
      <c r="H44" s="2615"/>
      <c r="I44" s="2752"/>
      <c r="J44" s="2752"/>
      <c r="K44" s="2417"/>
      <c r="L44" s="2417"/>
      <c r="M44" s="2602"/>
      <c r="N44" s="2398"/>
      <c r="O44" s="2764"/>
      <c r="P44" s="2637"/>
      <c r="Q44" s="2752"/>
      <c r="R44" s="2758"/>
      <c r="S44" s="2724"/>
      <c r="T44" s="1939">
        <v>12000000</v>
      </c>
      <c r="U44" s="1753">
        <v>20</v>
      </c>
      <c r="V44" s="1691" t="s">
        <v>466</v>
      </c>
      <c r="W44" s="2766"/>
      <c r="X44" s="2754"/>
      <c r="Y44" s="2754"/>
      <c r="Z44" s="2754"/>
      <c r="AA44" s="2754"/>
      <c r="AB44" s="2754"/>
      <c r="AC44" s="2754"/>
      <c r="AD44" s="2754"/>
      <c r="AE44" s="2754"/>
      <c r="AF44" s="2754"/>
      <c r="AG44" s="2754"/>
      <c r="AH44" s="2754"/>
      <c r="AI44" s="2754"/>
      <c r="AJ44" s="2754"/>
      <c r="AK44" s="2754"/>
      <c r="AL44" s="2754"/>
      <c r="AM44" s="2605"/>
      <c r="AN44" s="2605"/>
      <c r="AO44" s="2651"/>
    </row>
    <row r="45" spans="1:41" s="1427" customFormat="1" ht="34.5" customHeight="1" x14ac:dyDescent="0.2">
      <c r="A45" s="1761"/>
      <c r="B45" s="1761"/>
      <c r="C45" s="1761"/>
      <c r="D45" s="1716"/>
      <c r="E45" s="1750"/>
      <c r="F45" s="1679"/>
      <c r="G45" s="2615"/>
      <c r="H45" s="2615"/>
      <c r="I45" s="2752"/>
      <c r="J45" s="2752"/>
      <c r="K45" s="2417"/>
      <c r="L45" s="2417"/>
      <c r="M45" s="2602"/>
      <c r="N45" s="2398"/>
      <c r="O45" s="2764"/>
      <c r="P45" s="2637"/>
      <c r="Q45" s="2752"/>
      <c r="R45" s="2757"/>
      <c r="S45" s="2419" t="s">
        <v>1539</v>
      </c>
      <c r="T45" s="1939">
        <v>12000000</v>
      </c>
      <c r="U45" s="1753">
        <v>88</v>
      </c>
      <c r="V45" s="1691" t="s">
        <v>466</v>
      </c>
      <c r="W45" s="2766"/>
      <c r="X45" s="2754"/>
      <c r="Y45" s="2754"/>
      <c r="Z45" s="2754"/>
      <c r="AA45" s="2754"/>
      <c r="AB45" s="2754"/>
      <c r="AC45" s="2754"/>
      <c r="AD45" s="2754"/>
      <c r="AE45" s="2754"/>
      <c r="AF45" s="2754"/>
      <c r="AG45" s="2754"/>
      <c r="AH45" s="2754"/>
      <c r="AI45" s="2754"/>
      <c r="AJ45" s="2754"/>
      <c r="AK45" s="2754"/>
      <c r="AL45" s="2754"/>
      <c r="AM45" s="2605"/>
      <c r="AN45" s="2605"/>
      <c r="AO45" s="2651"/>
    </row>
    <row r="46" spans="1:41" s="1427" customFormat="1" ht="44.25" customHeight="1" x14ac:dyDescent="0.2">
      <c r="A46" s="1761"/>
      <c r="B46" s="1761"/>
      <c r="C46" s="1761"/>
      <c r="D46" s="1716"/>
      <c r="E46" s="1750"/>
      <c r="F46" s="1679"/>
      <c r="G46" s="2615"/>
      <c r="H46" s="2615"/>
      <c r="I46" s="2752"/>
      <c r="J46" s="2752"/>
      <c r="K46" s="2417"/>
      <c r="L46" s="2417"/>
      <c r="M46" s="2602"/>
      <c r="N46" s="2398"/>
      <c r="O46" s="2764"/>
      <c r="P46" s="2637"/>
      <c r="Q46" s="2752"/>
      <c r="R46" s="2757"/>
      <c r="S46" s="2744"/>
      <c r="T46" s="1939">
        <v>18000000</v>
      </c>
      <c r="U46" s="1753">
        <v>20</v>
      </c>
      <c r="V46" s="1691" t="s">
        <v>466</v>
      </c>
      <c r="W46" s="2766"/>
      <c r="X46" s="2754"/>
      <c r="Y46" s="2754"/>
      <c r="Z46" s="2754"/>
      <c r="AA46" s="2754"/>
      <c r="AB46" s="2754"/>
      <c r="AC46" s="2754"/>
      <c r="AD46" s="2754"/>
      <c r="AE46" s="2754"/>
      <c r="AF46" s="2754"/>
      <c r="AG46" s="2754"/>
      <c r="AH46" s="2754"/>
      <c r="AI46" s="2754"/>
      <c r="AJ46" s="2754"/>
      <c r="AK46" s="2754"/>
      <c r="AL46" s="2754"/>
      <c r="AM46" s="2605"/>
      <c r="AN46" s="2605"/>
      <c r="AO46" s="2651"/>
    </row>
    <row r="47" spans="1:41" s="1427" customFormat="1" ht="44.25" customHeight="1" x14ac:dyDescent="0.2">
      <c r="A47" s="1761"/>
      <c r="B47" s="1761"/>
      <c r="C47" s="1761"/>
      <c r="D47" s="1716"/>
      <c r="E47" s="1750"/>
      <c r="F47" s="1679"/>
      <c r="G47" s="2615"/>
      <c r="H47" s="2615"/>
      <c r="I47" s="2752"/>
      <c r="J47" s="2752"/>
      <c r="K47" s="2417"/>
      <c r="L47" s="2417"/>
      <c r="M47" s="2602"/>
      <c r="N47" s="2398"/>
      <c r="O47" s="2764"/>
      <c r="P47" s="2637"/>
      <c r="Q47" s="2752"/>
      <c r="R47" s="2757"/>
      <c r="S47" s="2418" t="s">
        <v>1540</v>
      </c>
      <c r="T47" s="1939">
        <v>15000000</v>
      </c>
      <c r="U47" s="1753">
        <v>88</v>
      </c>
      <c r="V47" s="1691" t="s">
        <v>466</v>
      </c>
      <c r="W47" s="2766"/>
      <c r="X47" s="2754"/>
      <c r="Y47" s="2754"/>
      <c r="Z47" s="2754"/>
      <c r="AA47" s="2754"/>
      <c r="AB47" s="2754"/>
      <c r="AC47" s="2754"/>
      <c r="AD47" s="2754"/>
      <c r="AE47" s="2754"/>
      <c r="AF47" s="2754"/>
      <c r="AG47" s="2754"/>
      <c r="AH47" s="2754"/>
      <c r="AI47" s="2754"/>
      <c r="AJ47" s="2754"/>
      <c r="AK47" s="2754"/>
      <c r="AL47" s="2754"/>
      <c r="AM47" s="2605"/>
      <c r="AN47" s="2605"/>
      <c r="AO47" s="2651"/>
    </row>
    <row r="48" spans="1:41" s="1427" customFormat="1" ht="45" customHeight="1" x14ac:dyDescent="0.2">
      <c r="A48" s="1761"/>
      <c r="B48" s="1761"/>
      <c r="C48" s="1761"/>
      <c r="D48" s="1716"/>
      <c r="E48" s="1750"/>
      <c r="F48" s="1679"/>
      <c r="G48" s="2615"/>
      <c r="H48" s="2615"/>
      <c r="I48" s="2752"/>
      <c r="J48" s="2286"/>
      <c r="K48" s="2191"/>
      <c r="L48" s="2762"/>
      <c r="M48" s="2602"/>
      <c r="N48" s="2398"/>
      <c r="O48" s="2625"/>
      <c r="P48" s="2637"/>
      <c r="Q48" s="2286"/>
      <c r="R48" s="2756"/>
      <c r="S48" s="2744"/>
      <c r="T48" s="1939">
        <v>7000000</v>
      </c>
      <c r="U48" s="1753">
        <v>20</v>
      </c>
      <c r="V48" s="1691" t="s">
        <v>70</v>
      </c>
      <c r="W48" s="2766"/>
      <c r="X48" s="2754"/>
      <c r="Y48" s="2754"/>
      <c r="Z48" s="2754"/>
      <c r="AA48" s="2754"/>
      <c r="AB48" s="2754"/>
      <c r="AC48" s="2754"/>
      <c r="AD48" s="2754"/>
      <c r="AE48" s="2754"/>
      <c r="AF48" s="2754"/>
      <c r="AG48" s="2754"/>
      <c r="AH48" s="2754"/>
      <c r="AI48" s="2754"/>
      <c r="AJ48" s="2754"/>
      <c r="AK48" s="2754"/>
      <c r="AL48" s="2754"/>
      <c r="AM48" s="2605"/>
      <c r="AN48" s="2605"/>
      <c r="AO48" s="2651"/>
    </row>
    <row r="49" spans="1:41" s="1427" customFormat="1" ht="51" customHeight="1" x14ac:dyDescent="0.2">
      <c r="A49" s="1761"/>
      <c r="B49" s="1761"/>
      <c r="C49" s="1761"/>
      <c r="D49" s="1716"/>
      <c r="E49" s="1750"/>
      <c r="F49" s="1679"/>
      <c r="G49" s="2615"/>
      <c r="H49" s="2615"/>
      <c r="I49" s="2752"/>
      <c r="J49" s="2286"/>
      <c r="K49" s="2191"/>
      <c r="L49" s="2763"/>
      <c r="M49" s="2602"/>
      <c r="N49" s="2398"/>
      <c r="O49" s="2625"/>
      <c r="P49" s="2637"/>
      <c r="Q49" s="2286"/>
      <c r="R49" s="2756"/>
      <c r="S49" s="1669" t="s">
        <v>1541</v>
      </c>
      <c r="T49" s="1939">
        <v>1120000</v>
      </c>
      <c r="U49" s="1753">
        <v>20</v>
      </c>
      <c r="V49" s="1691" t="s">
        <v>70</v>
      </c>
      <c r="W49" s="2766"/>
      <c r="X49" s="2754"/>
      <c r="Y49" s="2754"/>
      <c r="Z49" s="2754"/>
      <c r="AA49" s="2754"/>
      <c r="AB49" s="2754"/>
      <c r="AC49" s="2754"/>
      <c r="AD49" s="2754"/>
      <c r="AE49" s="2754"/>
      <c r="AF49" s="2754"/>
      <c r="AG49" s="2754"/>
      <c r="AH49" s="2754"/>
      <c r="AI49" s="2754"/>
      <c r="AJ49" s="2754"/>
      <c r="AK49" s="2754"/>
      <c r="AL49" s="2754"/>
      <c r="AM49" s="2605"/>
      <c r="AN49" s="2605"/>
      <c r="AO49" s="2651"/>
    </row>
    <row r="50" spans="1:41" s="1427" customFormat="1" ht="32.25" customHeight="1" x14ac:dyDescent="0.2">
      <c r="A50" s="1761"/>
      <c r="B50" s="1761"/>
      <c r="C50" s="1761"/>
      <c r="D50" s="1716"/>
      <c r="E50" s="1750"/>
      <c r="F50" s="1679"/>
      <c r="G50" s="2615"/>
      <c r="H50" s="2615"/>
      <c r="I50" s="2752"/>
      <c r="J50" s="2286"/>
      <c r="K50" s="2191"/>
      <c r="L50" s="2763"/>
      <c r="M50" s="2602"/>
      <c r="N50" s="2398"/>
      <c r="O50" s="2625"/>
      <c r="P50" s="2637"/>
      <c r="Q50" s="2286"/>
      <c r="R50" s="2756"/>
      <c r="S50" s="2760" t="s">
        <v>1542</v>
      </c>
      <c r="T50" s="1939">
        <v>12000000</v>
      </c>
      <c r="U50" s="1753">
        <v>20</v>
      </c>
      <c r="V50" s="1691" t="s">
        <v>70</v>
      </c>
      <c r="W50" s="2766"/>
      <c r="X50" s="2754"/>
      <c r="Y50" s="2754"/>
      <c r="Z50" s="2754"/>
      <c r="AA50" s="2754"/>
      <c r="AB50" s="2754"/>
      <c r="AC50" s="2754"/>
      <c r="AD50" s="2754"/>
      <c r="AE50" s="2754"/>
      <c r="AF50" s="2754"/>
      <c r="AG50" s="2754"/>
      <c r="AH50" s="2754"/>
      <c r="AI50" s="2754"/>
      <c r="AJ50" s="2754"/>
      <c r="AK50" s="2754"/>
      <c r="AL50" s="2754"/>
      <c r="AM50" s="2605"/>
      <c r="AN50" s="2605"/>
      <c r="AO50" s="2651"/>
    </row>
    <row r="51" spans="1:41" s="1427" customFormat="1" ht="39.75" customHeight="1" x14ac:dyDescent="0.2">
      <c r="A51" s="1761"/>
      <c r="B51" s="1761"/>
      <c r="C51" s="1761"/>
      <c r="D51" s="1716"/>
      <c r="E51" s="1750"/>
      <c r="F51" s="1679"/>
      <c r="G51" s="2616"/>
      <c r="H51" s="2616"/>
      <c r="I51" s="2694"/>
      <c r="J51" s="2313"/>
      <c r="K51" s="2257"/>
      <c r="L51" s="2763"/>
      <c r="M51" s="2602"/>
      <c r="N51" s="2398"/>
      <c r="O51" s="2660"/>
      <c r="P51" s="2637"/>
      <c r="Q51" s="2286"/>
      <c r="R51" s="2756"/>
      <c r="S51" s="2761"/>
      <c r="T51" s="1939">
        <v>17000000</v>
      </c>
      <c r="U51" s="1753">
        <v>88</v>
      </c>
      <c r="V51" s="1691" t="s">
        <v>466</v>
      </c>
      <c r="W51" s="2766"/>
      <c r="X51" s="2754"/>
      <c r="Y51" s="2754"/>
      <c r="Z51" s="2754"/>
      <c r="AA51" s="2754"/>
      <c r="AB51" s="2754"/>
      <c r="AC51" s="2754"/>
      <c r="AD51" s="2754"/>
      <c r="AE51" s="2754"/>
      <c r="AF51" s="2754"/>
      <c r="AG51" s="2754"/>
      <c r="AH51" s="2754"/>
      <c r="AI51" s="2754"/>
      <c r="AJ51" s="2754"/>
      <c r="AK51" s="2754"/>
      <c r="AL51" s="2754"/>
      <c r="AM51" s="2605"/>
      <c r="AN51" s="2605"/>
      <c r="AO51" s="2651"/>
    </row>
    <row r="52" spans="1:41" s="339" customFormat="1" ht="69.75" customHeight="1" x14ac:dyDescent="0.2">
      <c r="A52" s="1777"/>
      <c r="D52" s="2610"/>
      <c r="E52" s="2608"/>
      <c r="F52" s="2609"/>
      <c r="G52" s="2614">
        <v>4101025</v>
      </c>
      <c r="H52" s="2614" t="s">
        <v>1543</v>
      </c>
      <c r="I52" s="2693" t="s">
        <v>1544</v>
      </c>
      <c r="J52" s="2285" t="s">
        <v>1545</v>
      </c>
      <c r="K52" s="2190">
        <v>250</v>
      </c>
      <c r="L52" s="2191"/>
      <c r="M52" s="2602"/>
      <c r="N52" s="2398"/>
      <c r="O52" s="2624">
        <f>SUM(T52:T56)/P31</f>
        <v>9.5651535609552543E-2</v>
      </c>
      <c r="P52" s="2637"/>
      <c r="Q52" s="2286"/>
      <c r="R52" s="2756"/>
      <c r="S52" s="1779" t="s">
        <v>1546</v>
      </c>
      <c r="T52" s="1939">
        <v>23500000</v>
      </c>
      <c r="U52" s="1753">
        <v>88</v>
      </c>
      <c r="V52" s="1691" t="s">
        <v>466</v>
      </c>
      <c r="W52" s="2766"/>
      <c r="X52" s="2754"/>
      <c r="Y52" s="2754"/>
      <c r="Z52" s="2754"/>
      <c r="AA52" s="2754"/>
      <c r="AB52" s="2754"/>
      <c r="AC52" s="2754"/>
      <c r="AD52" s="2754"/>
      <c r="AE52" s="2754"/>
      <c r="AF52" s="2754"/>
      <c r="AG52" s="2754"/>
      <c r="AH52" s="2754"/>
      <c r="AI52" s="2754"/>
      <c r="AJ52" s="2754"/>
      <c r="AK52" s="2754"/>
      <c r="AL52" s="2754"/>
      <c r="AM52" s="2605"/>
      <c r="AN52" s="2605"/>
      <c r="AO52" s="2651"/>
    </row>
    <row r="53" spans="1:41" s="339" customFormat="1" ht="44.25" customHeight="1" x14ac:dyDescent="0.2">
      <c r="A53" s="1777"/>
      <c r="D53" s="1780"/>
      <c r="E53" s="1778"/>
      <c r="F53" s="1781"/>
      <c r="G53" s="2615"/>
      <c r="H53" s="2615"/>
      <c r="I53" s="2752"/>
      <c r="J53" s="2286"/>
      <c r="K53" s="2191"/>
      <c r="L53" s="2191"/>
      <c r="M53" s="2602"/>
      <c r="N53" s="2398"/>
      <c r="O53" s="2625"/>
      <c r="P53" s="2637"/>
      <c r="Q53" s="2286"/>
      <c r="R53" s="2756"/>
      <c r="S53" s="2639" t="s">
        <v>1547</v>
      </c>
      <c r="T53" s="1939">
        <f>4000000</f>
        <v>4000000</v>
      </c>
      <c r="U53" s="1753">
        <v>20</v>
      </c>
      <c r="V53" s="1691" t="s">
        <v>70</v>
      </c>
      <c r="W53" s="2766"/>
      <c r="X53" s="2754"/>
      <c r="Y53" s="2754"/>
      <c r="Z53" s="2754"/>
      <c r="AA53" s="2754"/>
      <c r="AB53" s="2754"/>
      <c r="AC53" s="2754"/>
      <c r="AD53" s="2754"/>
      <c r="AE53" s="2754"/>
      <c r="AF53" s="2754"/>
      <c r="AG53" s="2754"/>
      <c r="AH53" s="2754"/>
      <c r="AI53" s="2754"/>
      <c r="AJ53" s="2754"/>
      <c r="AK53" s="2754"/>
      <c r="AL53" s="2754"/>
      <c r="AM53" s="2605"/>
      <c r="AN53" s="2605"/>
      <c r="AO53" s="2651"/>
    </row>
    <row r="54" spans="1:41" s="339" customFormat="1" ht="36" customHeight="1" x14ac:dyDescent="0.2">
      <c r="A54" s="1777"/>
      <c r="D54" s="1780"/>
      <c r="E54" s="1778"/>
      <c r="F54" s="1781"/>
      <c r="G54" s="2615"/>
      <c r="H54" s="2615"/>
      <c r="I54" s="2752"/>
      <c r="J54" s="2286"/>
      <c r="K54" s="2191"/>
      <c r="L54" s="2191"/>
      <c r="M54" s="2602"/>
      <c r="N54" s="2398"/>
      <c r="O54" s="2625"/>
      <c r="P54" s="2637"/>
      <c r="Q54" s="2286"/>
      <c r="R54" s="2756"/>
      <c r="S54" s="2640"/>
      <c r="T54" s="1939">
        <v>14000000</v>
      </c>
      <c r="U54" s="1753">
        <v>88</v>
      </c>
      <c r="V54" s="1691" t="s">
        <v>466</v>
      </c>
      <c r="W54" s="2766"/>
      <c r="X54" s="2754"/>
      <c r="Y54" s="2754"/>
      <c r="Z54" s="2754"/>
      <c r="AA54" s="2754"/>
      <c r="AB54" s="2754"/>
      <c r="AC54" s="2754"/>
      <c r="AD54" s="2754"/>
      <c r="AE54" s="2754"/>
      <c r="AF54" s="2754"/>
      <c r="AG54" s="2754"/>
      <c r="AH54" s="2754"/>
      <c r="AI54" s="2754"/>
      <c r="AJ54" s="2754"/>
      <c r="AK54" s="2754"/>
      <c r="AL54" s="2754"/>
      <c r="AM54" s="2605"/>
      <c r="AN54" s="2605"/>
      <c r="AO54" s="2651"/>
    </row>
    <row r="55" spans="1:41" s="339" customFormat="1" ht="41.25" customHeight="1" x14ac:dyDescent="0.2">
      <c r="A55" s="1777"/>
      <c r="D55" s="1780"/>
      <c r="E55" s="1778"/>
      <c r="F55" s="1781"/>
      <c r="G55" s="2615"/>
      <c r="H55" s="2615"/>
      <c r="I55" s="2752"/>
      <c r="J55" s="2286"/>
      <c r="K55" s="2191"/>
      <c r="L55" s="2191"/>
      <c r="M55" s="2602"/>
      <c r="N55" s="2398"/>
      <c r="O55" s="2625"/>
      <c r="P55" s="2637"/>
      <c r="Q55" s="2286"/>
      <c r="R55" s="2756"/>
      <c r="S55" s="1779" t="s">
        <v>1548</v>
      </c>
      <c r="T55" s="1939">
        <v>1000000</v>
      </c>
      <c r="U55" s="1753">
        <v>88</v>
      </c>
      <c r="V55" s="1691" t="s">
        <v>466</v>
      </c>
      <c r="W55" s="2766"/>
      <c r="X55" s="2754"/>
      <c r="Y55" s="2754"/>
      <c r="Z55" s="2754"/>
      <c r="AA55" s="2754"/>
      <c r="AB55" s="2754"/>
      <c r="AC55" s="2754"/>
      <c r="AD55" s="2754"/>
      <c r="AE55" s="2754"/>
      <c r="AF55" s="2754"/>
      <c r="AG55" s="2754"/>
      <c r="AH55" s="2754"/>
      <c r="AI55" s="2754"/>
      <c r="AJ55" s="2754"/>
      <c r="AK55" s="2754"/>
      <c r="AL55" s="2754"/>
      <c r="AM55" s="2605"/>
      <c r="AN55" s="2605"/>
      <c r="AO55" s="2651"/>
    </row>
    <row r="56" spans="1:41" s="339" customFormat="1" ht="57" customHeight="1" x14ac:dyDescent="0.2">
      <c r="A56" s="1777"/>
      <c r="D56" s="1780"/>
      <c r="E56" s="1778"/>
      <c r="F56" s="1781"/>
      <c r="G56" s="2616"/>
      <c r="H56" s="2616"/>
      <c r="I56" s="2694"/>
      <c r="J56" s="2313"/>
      <c r="K56" s="2257"/>
      <c r="L56" s="2191"/>
      <c r="M56" s="2602"/>
      <c r="N56" s="2398"/>
      <c r="O56" s="2660"/>
      <c r="P56" s="2637"/>
      <c r="Q56" s="2286"/>
      <c r="R56" s="2756"/>
      <c r="S56" s="1779" t="s">
        <v>1549</v>
      </c>
      <c r="T56" s="1939">
        <v>7500000</v>
      </c>
      <c r="U56" s="1753">
        <v>88</v>
      </c>
      <c r="V56" s="1691" t="s">
        <v>466</v>
      </c>
      <c r="W56" s="2766"/>
      <c r="X56" s="2754"/>
      <c r="Y56" s="2754"/>
      <c r="Z56" s="2754"/>
      <c r="AA56" s="2754"/>
      <c r="AB56" s="2754"/>
      <c r="AC56" s="2754"/>
      <c r="AD56" s="2754"/>
      <c r="AE56" s="2754"/>
      <c r="AF56" s="2754"/>
      <c r="AG56" s="2754"/>
      <c r="AH56" s="2754"/>
      <c r="AI56" s="2754"/>
      <c r="AJ56" s="2754"/>
      <c r="AK56" s="2754"/>
      <c r="AL56" s="2754"/>
      <c r="AM56" s="2605"/>
      <c r="AN56" s="2605"/>
      <c r="AO56" s="2651"/>
    </row>
    <row r="57" spans="1:41" s="339" customFormat="1" ht="41.25" customHeight="1" x14ac:dyDescent="0.2">
      <c r="A57" s="1777"/>
      <c r="D57" s="1782"/>
      <c r="F57" s="1783"/>
      <c r="G57" s="2614">
        <v>4101038</v>
      </c>
      <c r="H57" s="2614" t="s">
        <v>1550</v>
      </c>
      <c r="I57" s="2693" t="s">
        <v>1551</v>
      </c>
      <c r="J57" s="2285" t="s">
        <v>1552</v>
      </c>
      <c r="K57" s="2190">
        <v>12</v>
      </c>
      <c r="L57" s="2191"/>
      <c r="M57" s="2602"/>
      <c r="N57" s="2398"/>
      <c r="O57" s="2624">
        <f>SUM(T57:T64)/P31</f>
        <v>8.0347289912024139E-2</v>
      </c>
      <c r="P57" s="2637"/>
      <c r="Q57" s="2286"/>
      <c r="R57" s="2756"/>
      <c r="S57" s="1668" t="s">
        <v>1553</v>
      </c>
      <c r="T57" s="1939">
        <v>4000000</v>
      </c>
      <c r="U57" s="1753">
        <v>88</v>
      </c>
      <c r="V57" s="1691" t="s">
        <v>466</v>
      </c>
      <c r="W57" s="2766"/>
      <c r="X57" s="2754"/>
      <c r="Y57" s="2754"/>
      <c r="Z57" s="2754"/>
      <c r="AA57" s="2754"/>
      <c r="AB57" s="2754"/>
      <c r="AC57" s="2754"/>
      <c r="AD57" s="2754"/>
      <c r="AE57" s="2754"/>
      <c r="AF57" s="2754"/>
      <c r="AG57" s="2754"/>
      <c r="AH57" s="2754"/>
      <c r="AI57" s="2754"/>
      <c r="AJ57" s="2754"/>
      <c r="AK57" s="2754"/>
      <c r="AL57" s="2754"/>
      <c r="AM57" s="2605"/>
      <c r="AN57" s="2605"/>
      <c r="AO57" s="2651"/>
    </row>
    <row r="58" spans="1:41" s="339" customFormat="1" ht="41.25" customHeight="1" x14ac:dyDescent="0.2">
      <c r="A58" s="1777"/>
      <c r="D58" s="1782"/>
      <c r="F58" s="1783"/>
      <c r="G58" s="2615"/>
      <c r="H58" s="2615"/>
      <c r="I58" s="2752"/>
      <c r="J58" s="2286"/>
      <c r="K58" s="2191"/>
      <c r="L58" s="2191"/>
      <c r="M58" s="2602"/>
      <c r="N58" s="2398"/>
      <c r="O58" s="2625"/>
      <c r="P58" s="2637"/>
      <c r="Q58" s="2286"/>
      <c r="R58" s="2756"/>
      <c r="S58" s="2628" t="s">
        <v>1554</v>
      </c>
      <c r="T58" s="1939">
        <v>4663390</v>
      </c>
      <c r="U58" s="1753">
        <v>20</v>
      </c>
      <c r="V58" s="1691" t="s">
        <v>466</v>
      </c>
      <c r="W58" s="2766"/>
      <c r="X58" s="2754"/>
      <c r="Y58" s="2754"/>
      <c r="Z58" s="2754"/>
      <c r="AA58" s="2754"/>
      <c r="AB58" s="2754"/>
      <c r="AC58" s="2754"/>
      <c r="AD58" s="2754"/>
      <c r="AE58" s="2754"/>
      <c r="AF58" s="2754"/>
      <c r="AG58" s="2754"/>
      <c r="AH58" s="2754"/>
      <c r="AI58" s="2754"/>
      <c r="AJ58" s="2754"/>
      <c r="AK58" s="2754"/>
      <c r="AL58" s="2754"/>
      <c r="AM58" s="2605"/>
      <c r="AN58" s="2605"/>
      <c r="AO58" s="2651"/>
    </row>
    <row r="59" spans="1:41" s="339" customFormat="1" ht="41.25" customHeight="1" x14ac:dyDescent="0.2">
      <c r="A59" s="1777"/>
      <c r="D59" s="1782"/>
      <c r="F59" s="1783"/>
      <c r="G59" s="2615"/>
      <c r="H59" s="2615"/>
      <c r="I59" s="2752"/>
      <c r="J59" s="2286"/>
      <c r="K59" s="2191"/>
      <c r="L59" s="2191"/>
      <c r="M59" s="2602"/>
      <c r="N59" s="2398"/>
      <c r="O59" s="2625"/>
      <c r="P59" s="2637"/>
      <c r="Q59" s="2286"/>
      <c r="R59" s="2756"/>
      <c r="S59" s="2629"/>
      <c r="T59" s="1939">
        <v>18000000</v>
      </c>
      <c r="U59" s="1753">
        <v>88</v>
      </c>
      <c r="V59" s="1691" t="s">
        <v>466</v>
      </c>
      <c r="W59" s="2766"/>
      <c r="X59" s="2754"/>
      <c r="Y59" s="2754"/>
      <c r="Z59" s="2754"/>
      <c r="AA59" s="2754"/>
      <c r="AB59" s="2754"/>
      <c r="AC59" s="2754"/>
      <c r="AD59" s="2754"/>
      <c r="AE59" s="2754"/>
      <c r="AF59" s="2754"/>
      <c r="AG59" s="2754"/>
      <c r="AH59" s="2754"/>
      <c r="AI59" s="2754"/>
      <c r="AJ59" s="2754"/>
      <c r="AK59" s="2754"/>
      <c r="AL59" s="2754"/>
      <c r="AM59" s="2605"/>
      <c r="AN59" s="2605"/>
      <c r="AO59" s="2651"/>
    </row>
    <row r="60" spans="1:41" s="339" customFormat="1" ht="31.5" customHeight="1" x14ac:dyDescent="0.2">
      <c r="A60" s="1777"/>
      <c r="D60" s="1782"/>
      <c r="F60" s="1783"/>
      <c r="G60" s="2615"/>
      <c r="H60" s="2615"/>
      <c r="I60" s="2752"/>
      <c r="J60" s="2286"/>
      <c r="K60" s="2191"/>
      <c r="L60" s="2191"/>
      <c r="M60" s="2602"/>
      <c r="N60" s="2398"/>
      <c r="O60" s="2625"/>
      <c r="P60" s="2637"/>
      <c r="Q60" s="2286"/>
      <c r="R60" s="2756"/>
      <c r="S60" s="2418" t="s">
        <v>1555</v>
      </c>
      <c r="T60" s="1939">
        <v>4000000</v>
      </c>
      <c r="U60" s="1753">
        <v>88</v>
      </c>
      <c r="V60" s="1691" t="s">
        <v>466</v>
      </c>
      <c r="W60" s="2766"/>
      <c r="X60" s="2754"/>
      <c r="Y60" s="2754"/>
      <c r="Z60" s="2754"/>
      <c r="AA60" s="2754"/>
      <c r="AB60" s="2754"/>
      <c r="AC60" s="2754"/>
      <c r="AD60" s="2754"/>
      <c r="AE60" s="2754"/>
      <c r="AF60" s="2754"/>
      <c r="AG60" s="2754"/>
      <c r="AH60" s="2754"/>
      <c r="AI60" s="2754"/>
      <c r="AJ60" s="2754"/>
      <c r="AK60" s="2754"/>
      <c r="AL60" s="2754"/>
      <c r="AM60" s="2605"/>
      <c r="AN60" s="2605"/>
      <c r="AO60" s="2651"/>
    </row>
    <row r="61" spans="1:41" s="339" customFormat="1" ht="30.75" customHeight="1" x14ac:dyDescent="0.2">
      <c r="A61" s="1777"/>
      <c r="D61" s="1782"/>
      <c r="F61" s="1783"/>
      <c r="G61" s="2615"/>
      <c r="H61" s="2615"/>
      <c r="I61" s="2752"/>
      <c r="J61" s="2286"/>
      <c r="K61" s="2191"/>
      <c r="L61" s="2191"/>
      <c r="M61" s="2602"/>
      <c r="N61" s="2398"/>
      <c r="O61" s="2625"/>
      <c r="P61" s="2637"/>
      <c r="Q61" s="2286"/>
      <c r="R61" s="2756"/>
      <c r="S61" s="2744"/>
      <c r="T61" s="1939">
        <v>2711399</v>
      </c>
      <c r="U61" s="1753">
        <v>20</v>
      </c>
      <c r="V61" s="1691" t="s">
        <v>466</v>
      </c>
      <c r="W61" s="2766"/>
      <c r="X61" s="2754"/>
      <c r="Y61" s="2754"/>
      <c r="Z61" s="2754"/>
      <c r="AA61" s="2754"/>
      <c r="AB61" s="2754"/>
      <c r="AC61" s="2754"/>
      <c r="AD61" s="2754"/>
      <c r="AE61" s="2754"/>
      <c r="AF61" s="2754"/>
      <c r="AG61" s="2754"/>
      <c r="AH61" s="2754"/>
      <c r="AI61" s="2754"/>
      <c r="AJ61" s="2754"/>
      <c r="AK61" s="2754"/>
      <c r="AL61" s="2754"/>
      <c r="AM61" s="2605"/>
      <c r="AN61" s="2605"/>
      <c r="AO61" s="2651"/>
    </row>
    <row r="62" spans="1:41" s="339" customFormat="1" ht="31.5" customHeight="1" x14ac:dyDescent="0.2">
      <c r="A62" s="1777"/>
      <c r="D62" s="1782"/>
      <c r="F62" s="1783"/>
      <c r="G62" s="2615"/>
      <c r="H62" s="2615"/>
      <c r="I62" s="2752"/>
      <c r="J62" s="2286"/>
      <c r="K62" s="2191"/>
      <c r="L62" s="2191"/>
      <c r="M62" s="2602"/>
      <c r="N62" s="2398"/>
      <c r="O62" s="2625"/>
      <c r="P62" s="2637"/>
      <c r="Q62" s="2286"/>
      <c r="R62" s="2756"/>
      <c r="S62" s="1668" t="s">
        <v>1548</v>
      </c>
      <c r="T62" s="1939">
        <v>1500000</v>
      </c>
      <c r="U62" s="1753">
        <v>88</v>
      </c>
      <c r="V62" s="1691" t="s">
        <v>70</v>
      </c>
      <c r="W62" s="2766"/>
      <c r="X62" s="2754"/>
      <c r="Y62" s="2754"/>
      <c r="Z62" s="2754"/>
      <c r="AA62" s="2754"/>
      <c r="AB62" s="2754"/>
      <c r="AC62" s="2754"/>
      <c r="AD62" s="2754"/>
      <c r="AE62" s="2754"/>
      <c r="AF62" s="2754"/>
      <c r="AG62" s="2754"/>
      <c r="AH62" s="2754"/>
      <c r="AI62" s="2754"/>
      <c r="AJ62" s="2754"/>
      <c r="AK62" s="2754"/>
      <c r="AL62" s="2754"/>
      <c r="AM62" s="2605"/>
      <c r="AN62" s="2605"/>
      <c r="AO62" s="2651"/>
    </row>
    <row r="63" spans="1:41" s="339" customFormat="1" ht="47.25" customHeight="1" x14ac:dyDescent="0.2">
      <c r="A63" s="1777"/>
      <c r="D63" s="1782"/>
      <c r="F63" s="1783"/>
      <c r="G63" s="2615"/>
      <c r="H63" s="2615"/>
      <c r="I63" s="2752"/>
      <c r="J63" s="2286"/>
      <c r="K63" s="2191"/>
      <c r="L63" s="2191"/>
      <c r="M63" s="2602"/>
      <c r="N63" s="2398"/>
      <c r="O63" s="2625"/>
      <c r="P63" s="2637"/>
      <c r="Q63" s="2286"/>
      <c r="R63" s="2756"/>
      <c r="S63" s="1784" t="s">
        <v>1556</v>
      </c>
      <c r="T63" s="1939">
        <v>5125211</v>
      </c>
      <c r="U63" s="1753">
        <v>88</v>
      </c>
      <c r="V63" s="1691" t="s">
        <v>466</v>
      </c>
      <c r="W63" s="2766"/>
      <c r="X63" s="2754"/>
      <c r="Y63" s="2754"/>
      <c r="Z63" s="2754"/>
      <c r="AA63" s="2754"/>
      <c r="AB63" s="2754"/>
      <c r="AC63" s="2754"/>
      <c r="AD63" s="2754"/>
      <c r="AE63" s="2754"/>
      <c r="AF63" s="2754"/>
      <c r="AG63" s="2754"/>
      <c r="AH63" s="2754"/>
      <c r="AI63" s="2754"/>
      <c r="AJ63" s="2754"/>
      <c r="AK63" s="2754"/>
      <c r="AL63" s="2754"/>
      <c r="AM63" s="2605"/>
      <c r="AN63" s="2605"/>
      <c r="AO63" s="2651"/>
    </row>
    <row r="64" spans="1:41" s="339" customFormat="1" ht="96" customHeight="1" x14ac:dyDescent="0.2">
      <c r="A64" s="1777"/>
      <c r="D64" s="1782"/>
      <c r="F64" s="1783"/>
      <c r="G64" s="2616"/>
      <c r="H64" s="2616"/>
      <c r="I64" s="2694"/>
      <c r="J64" s="2313"/>
      <c r="K64" s="2257"/>
      <c r="L64" s="2191"/>
      <c r="M64" s="2602"/>
      <c r="N64" s="2398"/>
      <c r="O64" s="2660"/>
      <c r="P64" s="2637"/>
      <c r="Q64" s="2286"/>
      <c r="R64" s="2756"/>
      <c r="S64" s="1681" t="s">
        <v>1557</v>
      </c>
      <c r="T64" s="1938">
        <v>2000000</v>
      </c>
      <c r="U64" s="1753">
        <v>88</v>
      </c>
      <c r="V64" s="1691" t="s">
        <v>466</v>
      </c>
      <c r="W64" s="2766"/>
      <c r="X64" s="2754"/>
      <c r="Y64" s="2754"/>
      <c r="Z64" s="2754"/>
      <c r="AA64" s="2754"/>
      <c r="AB64" s="2754"/>
      <c r="AC64" s="2754"/>
      <c r="AD64" s="2754"/>
      <c r="AE64" s="2754"/>
      <c r="AF64" s="2754"/>
      <c r="AG64" s="2754"/>
      <c r="AH64" s="2754"/>
      <c r="AI64" s="2754"/>
      <c r="AJ64" s="2754"/>
      <c r="AK64" s="2754"/>
      <c r="AL64" s="2754"/>
      <c r="AM64" s="2605"/>
      <c r="AN64" s="2605"/>
      <c r="AO64" s="2651"/>
    </row>
    <row r="65" spans="1:41" s="339" customFormat="1" ht="70.5" customHeight="1" x14ac:dyDescent="0.2">
      <c r="A65" s="1777"/>
      <c r="D65" s="1782"/>
      <c r="F65" s="1783"/>
      <c r="G65" s="2614">
        <v>4101073</v>
      </c>
      <c r="H65" s="2614" t="s">
        <v>1558</v>
      </c>
      <c r="I65" s="2693" t="s">
        <v>1559</v>
      </c>
      <c r="J65" s="2285" t="s">
        <v>1560</v>
      </c>
      <c r="K65" s="2190">
        <v>20</v>
      </c>
      <c r="L65" s="2191"/>
      <c r="M65" s="2602"/>
      <c r="N65" s="2398"/>
      <c r="O65" s="2624">
        <f>(T65+T66+T67)/P31</f>
        <v>0.12434699629241831</v>
      </c>
      <c r="P65" s="2637"/>
      <c r="Q65" s="2286"/>
      <c r="R65" s="2756"/>
      <c r="S65" s="1681" t="s">
        <v>1556</v>
      </c>
      <c r="T65" s="1938">
        <v>9400000</v>
      </c>
      <c r="U65" s="1753">
        <v>20</v>
      </c>
      <c r="V65" s="1691" t="s">
        <v>466</v>
      </c>
      <c r="W65" s="2766"/>
      <c r="X65" s="2754"/>
      <c r="Y65" s="2754"/>
      <c r="Z65" s="2754"/>
      <c r="AA65" s="2754"/>
      <c r="AB65" s="2754"/>
      <c r="AC65" s="2754"/>
      <c r="AD65" s="2754"/>
      <c r="AE65" s="2754"/>
      <c r="AF65" s="2754"/>
      <c r="AG65" s="2754"/>
      <c r="AH65" s="2754"/>
      <c r="AI65" s="2754"/>
      <c r="AJ65" s="2754"/>
      <c r="AK65" s="2754"/>
      <c r="AL65" s="2754"/>
      <c r="AM65" s="2605"/>
      <c r="AN65" s="2605"/>
      <c r="AO65" s="2651"/>
    </row>
    <row r="66" spans="1:41" s="339" customFormat="1" ht="46.5" customHeight="1" x14ac:dyDescent="0.2">
      <c r="A66" s="1777"/>
      <c r="D66" s="1782"/>
      <c r="F66" s="1783"/>
      <c r="G66" s="2615"/>
      <c r="H66" s="2615"/>
      <c r="I66" s="2752"/>
      <c r="J66" s="2286"/>
      <c r="K66" s="2191"/>
      <c r="L66" s="2191"/>
      <c r="M66" s="2602"/>
      <c r="N66" s="2398"/>
      <c r="O66" s="2625"/>
      <c r="P66" s="2637"/>
      <c r="Q66" s="2286"/>
      <c r="R66" s="2756"/>
      <c r="S66" s="2745" t="s">
        <v>1541</v>
      </c>
      <c r="T66" s="1938">
        <v>22225000</v>
      </c>
      <c r="U66" s="1753">
        <v>88</v>
      </c>
      <c r="V66" s="1691" t="s">
        <v>466</v>
      </c>
      <c r="W66" s="2766"/>
      <c r="X66" s="2754"/>
      <c r="Y66" s="2754"/>
      <c r="Z66" s="2754"/>
      <c r="AA66" s="2754"/>
      <c r="AB66" s="2754"/>
      <c r="AC66" s="2754"/>
      <c r="AD66" s="2754"/>
      <c r="AE66" s="2754"/>
      <c r="AF66" s="2754"/>
      <c r="AG66" s="2754"/>
      <c r="AH66" s="2754"/>
      <c r="AI66" s="2754"/>
      <c r="AJ66" s="2754"/>
      <c r="AK66" s="2754"/>
      <c r="AL66" s="2754"/>
      <c r="AM66" s="2605"/>
      <c r="AN66" s="2605"/>
      <c r="AO66" s="2651"/>
    </row>
    <row r="67" spans="1:41" s="339" customFormat="1" ht="55.5" customHeight="1" x14ac:dyDescent="0.2">
      <c r="A67" s="1777"/>
      <c r="D67" s="1782"/>
      <c r="F67" s="1783"/>
      <c r="G67" s="2616"/>
      <c r="H67" s="2616"/>
      <c r="I67" s="2694"/>
      <c r="J67" s="2313"/>
      <c r="K67" s="2257"/>
      <c r="L67" s="2191"/>
      <c r="M67" s="2602"/>
      <c r="N67" s="2398"/>
      <c r="O67" s="2660"/>
      <c r="P67" s="2637"/>
      <c r="Q67" s="2286"/>
      <c r="R67" s="2756"/>
      <c r="S67" s="2745"/>
      <c r="T67" s="1938">
        <v>33375000</v>
      </c>
      <c r="U67" s="1753">
        <v>20</v>
      </c>
      <c r="V67" s="1691" t="s">
        <v>70</v>
      </c>
      <c r="W67" s="2766"/>
      <c r="X67" s="2754"/>
      <c r="Y67" s="2754"/>
      <c r="Z67" s="2754"/>
      <c r="AA67" s="2754"/>
      <c r="AB67" s="2754"/>
      <c r="AC67" s="2754"/>
      <c r="AD67" s="2754"/>
      <c r="AE67" s="2754"/>
      <c r="AF67" s="2754"/>
      <c r="AG67" s="2754"/>
      <c r="AH67" s="2754"/>
      <c r="AI67" s="2754"/>
      <c r="AJ67" s="2754"/>
      <c r="AK67" s="2754"/>
      <c r="AL67" s="2754"/>
      <c r="AM67" s="2605"/>
      <c r="AN67" s="2605"/>
      <c r="AO67" s="2651"/>
    </row>
    <row r="68" spans="1:41" s="339" customFormat="1" ht="45.75" customHeight="1" x14ac:dyDescent="0.2">
      <c r="A68" s="1777"/>
      <c r="D68" s="1782"/>
      <c r="F68" s="1783"/>
      <c r="G68" s="2614">
        <v>4101011</v>
      </c>
      <c r="H68" s="2614" t="s">
        <v>1561</v>
      </c>
      <c r="I68" s="2693" t="s">
        <v>1562</v>
      </c>
      <c r="J68" s="2285" t="s">
        <v>1563</v>
      </c>
      <c r="K68" s="2190">
        <v>2</v>
      </c>
      <c r="L68" s="2191"/>
      <c r="M68" s="2602"/>
      <c r="N68" s="2398"/>
      <c r="O68" s="2624">
        <f>SUM(T68:T76)/P31</f>
        <v>0.1052166891705078</v>
      </c>
      <c r="P68" s="2637"/>
      <c r="Q68" s="2286"/>
      <c r="R68" s="2756"/>
      <c r="S68" s="2418" t="s">
        <v>1564</v>
      </c>
      <c r="T68" s="1939">
        <v>15000000</v>
      </c>
      <c r="U68" s="1753">
        <v>88</v>
      </c>
      <c r="V68" s="1691" t="s">
        <v>466</v>
      </c>
      <c r="W68" s="2766"/>
      <c r="X68" s="2754"/>
      <c r="Y68" s="2754"/>
      <c r="Z68" s="2754"/>
      <c r="AA68" s="2754"/>
      <c r="AB68" s="2754"/>
      <c r="AC68" s="2754"/>
      <c r="AD68" s="2754"/>
      <c r="AE68" s="2754"/>
      <c r="AF68" s="2754"/>
      <c r="AG68" s="2754"/>
      <c r="AH68" s="2754"/>
      <c r="AI68" s="2754"/>
      <c r="AJ68" s="2754"/>
      <c r="AK68" s="2754"/>
      <c r="AL68" s="2754"/>
      <c r="AM68" s="2605"/>
      <c r="AN68" s="2605"/>
      <c r="AO68" s="2651"/>
    </row>
    <row r="69" spans="1:41" s="339" customFormat="1" ht="44.25" customHeight="1" x14ac:dyDescent="0.2">
      <c r="A69" s="1777"/>
      <c r="D69" s="1782"/>
      <c r="F69" s="1783"/>
      <c r="G69" s="2615"/>
      <c r="H69" s="2615"/>
      <c r="I69" s="2752"/>
      <c r="J69" s="2286"/>
      <c r="K69" s="2191"/>
      <c r="L69" s="2191"/>
      <c r="M69" s="2602"/>
      <c r="N69" s="2398"/>
      <c r="O69" s="2625"/>
      <c r="P69" s="2637"/>
      <c r="Q69" s="2286"/>
      <c r="R69" s="2756"/>
      <c r="S69" s="2744"/>
      <c r="T69" s="1939">
        <v>15000000</v>
      </c>
      <c r="U69" s="1753">
        <v>20</v>
      </c>
      <c r="V69" s="1691" t="s">
        <v>70</v>
      </c>
      <c r="W69" s="2766"/>
      <c r="X69" s="2754"/>
      <c r="Y69" s="2754"/>
      <c r="Z69" s="2754"/>
      <c r="AA69" s="2754"/>
      <c r="AB69" s="2754"/>
      <c r="AC69" s="2754"/>
      <c r="AD69" s="2754"/>
      <c r="AE69" s="2754"/>
      <c r="AF69" s="2754"/>
      <c r="AG69" s="2754"/>
      <c r="AH69" s="2754"/>
      <c r="AI69" s="2754"/>
      <c r="AJ69" s="2754"/>
      <c r="AK69" s="2754"/>
      <c r="AL69" s="2754"/>
      <c r="AM69" s="2605"/>
      <c r="AN69" s="2605"/>
      <c r="AO69" s="2651"/>
    </row>
    <row r="70" spans="1:41" s="339" customFormat="1" ht="66.75" customHeight="1" x14ac:dyDescent="0.2">
      <c r="A70" s="1777"/>
      <c r="D70" s="1782"/>
      <c r="F70" s="1783"/>
      <c r="G70" s="2615"/>
      <c r="H70" s="2615"/>
      <c r="I70" s="2752"/>
      <c r="J70" s="2286"/>
      <c r="K70" s="2191"/>
      <c r="L70" s="2191"/>
      <c r="M70" s="2602"/>
      <c r="N70" s="2398"/>
      <c r="O70" s="2625"/>
      <c r="P70" s="2637"/>
      <c r="Q70" s="2286"/>
      <c r="R70" s="2756"/>
      <c r="S70" s="1698" t="s">
        <v>1549</v>
      </c>
      <c r="T70" s="1939">
        <v>425000</v>
      </c>
      <c r="U70" s="1753">
        <v>20</v>
      </c>
      <c r="V70" s="1632" t="s">
        <v>70</v>
      </c>
      <c r="W70" s="2766"/>
      <c r="X70" s="2754"/>
      <c r="Y70" s="2754"/>
      <c r="Z70" s="2754"/>
      <c r="AA70" s="2754"/>
      <c r="AB70" s="2754"/>
      <c r="AC70" s="2754"/>
      <c r="AD70" s="2754"/>
      <c r="AE70" s="2754"/>
      <c r="AF70" s="2754"/>
      <c r="AG70" s="2754"/>
      <c r="AH70" s="2754"/>
      <c r="AI70" s="2754"/>
      <c r="AJ70" s="2754"/>
      <c r="AK70" s="2754"/>
      <c r="AL70" s="2754"/>
      <c r="AM70" s="2605"/>
      <c r="AN70" s="2605"/>
      <c r="AO70" s="2651"/>
    </row>
    <row r="71" spans="1:41" s="339" customFormat="1" ht="66.75" customHeight="1" x14ac:dyDescent="0.2">
      <c r="A71" s="1777"/>
      <c r="D71" s="1782"/>
      <c r="F71" s="1783"/>
      <c r="G71" s="2615"/>
      <c r="H71" s="2615"/>
      <c r="I71" s="2752"/>
      <c r="J71" s="2286"/>
      <c r="K71" s="2191"/>
      <c r="L71" s="2191"/>
      <c r="M71" s="2602"/>
      <c r="N71" s="2398"/>
      <c r="O71" s="2625"/>
      <c r="P71" s="2637"/>
      <c r="Q71" s="2286"/>
      <c r="R71" s="2756"/>
      <c r="S71" s="1669" t="s">
        <v>1542</v>
      </c>
      <c r="T71" s="1939">
        <v>5000000</v>
      </c>
      <c r="U71" s="1753">
        <v>20</v>
      </c>
      <c r="V71" s="1632" t="s">
        <v>70</v>
      </c>
      <c r="W71" s="2766"/>
      <c r="X71" s="2754"/>
      <c r="Y71" s="2754"/>
      <c r="Z71" s="2754"/>
      <c r="AA71" s="2754"/>
      <c r="AB71" s="2754"/>
      <c r="AC71" s="2754"/>
      <c r="AD71" s="2754"/>
      <c r="AE71" s="2754"/>
      <c r="AF71" s="2754"/>
      <c r="AG71" s="2754"/>
      <c r="AH71" s="2754"/>
      <c r="AI71" s="2754"/>
      <c r="AJ71" s="2754"/>
      <c r="AK71" s="2754"/>
      <c r="AL71" s="2754"/>
      <c r="AM71" s="2605"/>
      <c r="AN71" s="2605"/>
      <c r="AO71" s="2651"/>
    </row>
    <row r="72" spans="1:41" s="339" customFormat="1" ht="43.5" customHeight="1" x14ac:dyDescent="0.2">
      <c r="A72" s="1777"/>
      <c r="D72" s="1782"/>
      <c r="F72" s="1783"/>
      <c r="G72" s="2615"/>
      <c r="H72" s="2615"/>
      <c r="I72" s="2752"/>
      <c r="J72" s="2286"/>
      <c r="K72" s="2191"/>
      <c r="L72" s="2191"/>
      <c r="M72" s="2602"/>
      <c r="N72" s="2398"/>
      <c r="O72" s="2625"/>
      <c r="P72" s="2637"/>
      <c r="Q72" s="2286"/>
      <c r="R72" s="2759"/>
      <c r="S72" s="2745" t="s">
        <v>1565</v>
      </c>
      <c r="T72" s="1938"/>
      <c r="U72" s="1753">
        <v>20</v>
      </c>
      <c r="V72" s="1632" t="s">
        <v>70</v>
      </c>
      <c r="W72" s="2766"/>
      <c r="X72" s="2754"/>
      <c r="Y72" s="2754"/>
      <c r="Z72" s="2754"/>
      <c r="AA72" s="2754"/>
      <c r="AB72" s="2754"/>
      <c r="AC72" s="2754"/>
      <c r="AD72" s="2754"/>
      <c r="AE72" s="2754"/>
      <c r="AF72" s="2754"/>
      <c r="AG72" s="2754"/>
      <c r="AH72" s="2754"/>
      <c r="AI72" s="2754"/>
      <c r="AJ72" s="2754"/>
      <c r="AK72" s="2754"/>
      <c r="AL72" s="2754"/>
      <c r="AM72" s="2605"/>
      <c r="AN72" s="2605"/>
      <c r="AO72" s="2651"/>
    </row>
    <row r="73" spans="1:41" s="339" customFormat="1" ht="51" customHeight="1" x14ac:dyDescent="0.2">
      <c r="A73" s="1777"/>
      <c r="D73" s="1782"/>
      <c r="F73" s="1783"/>
      <c r="G73" s="2615"/>
      <c r="H73" s="2615"/>
      <c r="I73" s="2752"/>
      <c r="J73" s="2286"/>
      <c r="K73" s="2191"/>
      <c r="L73" s="2191"/>
      <c r="M73" s="2602"/>
      <c r="N73" s="2398"/>
      <c r="O73" s="2625"/>
      <c r="P73" s="2637"/>
      <c r="Q73" s="2286"/>
      <c r="R73" s="2759"/>
      <c r="S73" s="2745"/>
      <c r="T73" s="1938">
        <v>5575000</v>
      </c>
      <c r="U73" s="1753">
        <v>88</v>
      </c>
      <c r="V73" s="1632" t="s">
        <v>466</v>
      </c>
      <c r="W73" s="2766"/>
      <c r="X73" s="2754"/>
      <c r="Y73" s="2754"/>
      <c r="Z73" s="2754"/>
      <c r="AA73" s="2754"/>
      <c r="AB73" s="2754"/>
      <c r="AC73" s="2754"/>
      <c r="AD73" s="2754"/>
      <c r="AE73" s="2754"/>
      <c r="AF73" s="2754"/>
      <c r="AG73" s="2754"/>
      <c r="AH73" s="2754"/>
      <c r="AI73" s="2754"/>
      <c r="AJ73" s="2754"/>
      <c r="AK73" s="2754"/>
      <c r="AL73" s="2754"/>
      <c r="AM73" s="2605"/>
      <c r="AN73" s="2605"/>
      <c r="AO73" s="2651"/>
    </row>
    <row r="74" spans="1:41" s="339" customFormat="1" ht="46.5" customHeight="1" x14ac:dyDescent="0.2">
      <c r="A74" s="1777"/>
      <c r="D74" s="1782"/>
      <c r="F74" s="1783"/>
      <c r="G74" s="2615"/>
      <c r="H74" s="2615"/>
      <c r="I74" s="2752"/>
      <c r="J74" s="2286"/>
      <c r="K74" s="2191"/>
      <c r="L74" s="2191"/>
      <c r="M74" s="2602"/>
      <c r="N74" s="2398"/>
      <c r="O74" s="2625"/>
      <c r="P74" s="2637"/>
      <c r="Q74" s="2286"/>
      <c r="R74" s="2756"/>
      <c r="S74" s="1669" t="s">
        <v>1548</v>
      </c>
      <c r="T74" s="1939"/>
      <c r="U74" s="1753"/>
      <c r="V74" s="1632"/>
      <c r="W74" s="2766"/>
      <c r="X74" s="2754"/>
      <c r="Y74" s="2754"/>
      <c r="Z74" s="2754"/>
      <c r="AA74" s="2754"/>
      <c r="AB74" s="2754"/>
      <c r="AC74" s="2754"/>
      <c r="AD74" s="2754"/>
      <c r="AE74" s="2754"/>
      <c r="AF74" s="2754"/>
      <c r="AG74" s="2754"/>
      <c r="AH74" s="2754"/>
      <c r="AI74" s="2754"/>
      <c r="AJ74" s="2754"/>
      <c r="AK74" s="2754"/>
      <c r="AL74" s="2754"/>
      <c r="AM74" s="2605"/>
      <c r="AN74" s="2605"/>
      <c r="AO74" s="2651"/>
    </row>
    <row r="75" spans="1:41" s="339" customFormat="1" ht="45" customHeight="1" x14ac:dyDescent="0.2">
      <c r="A75" s="1777"/>
      <c r="D75" s="1782"/>
      <c r="F75" s="1783"/>
      <c r="G75" s="2615"/>
      <c r="H75" s="2615"/>
      <c r="I75" s="2752"/>
      <c r="J75" s="2286"/>
      <c r="K75" s="2191"/>
      <c r="L75" s="2191"/>
      <c r="M75" s="2602"/>
      <c r="N75" s="2398"/>
      <c r="O75" s="2625"/>
      <c r="P75" s="2637"/>
      <c r="Q75" s="2286"/>
      <c r="R75" s="2759"/>
      <c r="S75" s="2303" t="s">
        <v>1566</v>
      </c>
      <c r="T75" s="1938">
        <v>7000000</v>
      </c>
      <c r="U75" s="1753">
        <v>20</v>
      </c>
      <c r="V75" s="1632" t="s">
        <v>70</v>
      </c>
      <c r="W75" s="2766"/>
      <c r="X75" s="2754"/>
      <c r="Y75" s="2754"/>
      <c r="Z75" s="2754"/>
      <c r="AA75" s="2754"/>
      <c r="AB75" s="2754"/>
      <c r="AC75" s="2754"/>
      <c r="AD75" s="2754"/>
      <c r="AE75" s="2754"/>
      <c r="AF75" s="2754"/>
      <c r="AG75" s="2754"/>
      <c r="AH75" s="2754"/>
      <c r="AI75" s="2754"/>
      <c r="AJ75" s="2754"/>
      <c r="AK75" s="2754"/>
      <c r="AL75" s="2754"/>
      <c r="AM75" s="2605"/>
      <c r="AN75" s="2605"/>
      <c r="AO75" s="2651"/>
    </row>
    <row r="76" spans="1:41" s="339" customFormat="1" ht="48.75" customHeight="1" x14ac:dyDescent="0.2">
      <c r="A76" s="1777"/>
      <c r="C76" s="1783"/>
      <c r="D76" s="1785"/>
      <c r="F76" s="1783"/>
      <c r="G76" s="2615"/>
      <c r="H76" s="2615"/>
      <c r="I76" s="2752"/>
      <c r="J76" s="2286"/>
      <c r="K76" s="2191"/>
      <c r="L76" s="2191"/>
      <c r="M76" s="2602"/>
      <c r="N76" s="2398"/>
      <c r="O76" s="2625"/>
      <c r="P76" s="2638"/>
      <c r="Q76" s="2286"/>
      <c r="R76" s="2759"/>
      <c r="S76" s="2723"/>
      <c r="T76" s="1944">
        <v>7000000</v>
      </c>
      <c r="U76" s="1770">
        <v>88</v>
      </c>
      <c r="V76" s="1657" t="s">
        <v>466</v>
      </c>
      <c r="W76" s="2766"/>
      <c r="X76" s="2754"/>
      <c r="Y76" s="2754"/>
      <c r="Z76" s="2754"/>
      <c r="AA76" s="2754"/>
      <c r="AB76" s="2754"/>
      <c r="AC76" s="2754"/>
      <c r="AD76" s="2754"/>
      <c r="AE76" s="2754"/>
      <c r="AF76" s="2754"/>
      <c r="AG76" s="2754"/>
      <c r="AH76" s="2754"/>
      <c r="AI76" s="2754"/>
      <c r="AJ76" s="2754"/>
      <c r="AK76" s="2754"/>
      <c r="AL76" s="2754"/>
      <c r="AM76" s="2605"/>
      <c r="AN76" s="2605"/>
      <c r="AO76" s="2651"/>
    </row>
    <row r="77" spans="1:41" s="1427" customFormat="1" ht="27" customHeight="1" x14ac:dyDescent="0.2">
      <c r="A77" s="2746"/>
      <c r="B77" s="2746"/>
      <c r="C77" s="2747"/>
      <c r="D77" s="924">
        <v>37</v>
      </c>
      <c r="E77" s="1786" t="s">
        <v>770</v>
      </c>
      <c r="F77" s="210"/>
      <c r="G77" s="209"/>
      <c r="H77" s="209"/>
      <c r="I77" s="210"/>
      <c r="J77" s="210"/>
      <c r="K77" s="211"/>
      <c r="L77" s="1490"/>
      <c r="M77" s="211"/>
      <c r="N77" s="210"/>
      <c r="O77" s="654"/>
      <c r="P77" s="1934"/>
      <c r="Q77" s="210"/>
      <c r="R77" s="210"/>
      <c r="S77" s="1787"/>
      <c r="T77" s="1945"/>
      <c r="U77" s="1788"/>
      <c r="V77" s="1489"/>
      <c r="W77" s="211"/>
      <c r="X77" s="211"/>
      <c r="Y77" s="211"/>
      <c r="Z77" s="211"/>
      <c r="AA77" s="211"/>
      <c r="AB77" s="211"/>
      <c r="AC77" s="211"/>
      <c r="AD77" s="211"/>
      <c r="AE77" s="211"/>
      <c r="AF77" s="211"/>
      <c r="AG77" s="211"/>
      <c r="AH77" s="211"/>
      <c r="AI77" s="211"/>
      <c r="AJ77" s="211"/>
      <c r="AK77" s="211"/>
      <c r="AL77" s="211"/>
      <c r="AM77" s="1774"/>
      <c r="AN77" s="1774"/>
      <c r="AO77" s="1775"/>
    </row>
    <row r="78" spans="1:41" s="1427" customFormat="1" ht="96" customHeight="1" x14ac:dyDescent="0.2">
      <c r="A78" s="2746"/>
      <c r="B78" s="2746"/>
      <c r="C78" s="2747"/>
      <c r="D78" s="2748"/>
      <c r="E78" s="2751"/>
      <c r="F78" s="2681"/>
      <c r="G78" s="2203" t="s">
        <v>567</v>
      </c>
      <c r="H78" s="2205" t="s">
        <v>1567</v>
      </c>
      <c r="I78" s="2320" t="s">
        <v>1568</v>
      </c>
      <c r="J78" s="2320" t="s">
        <v>1569</v>
      </c>
      <c r="K78" s="2205">
        <v>50</v>
      </c>
      <c r="L78" s="2205" t="s">
        <v>1570</v>
      </c>
      <c r="M78" s="2707" t="s">
        <v>1571</v>
      </c>
      <c r="N78" s="2320" t="s">
        <v>1572</v>
      </c>
      <c r="O78" s="2686">
        <f>(T78+T79+T80)/(P78+P98)</f>
        <v>0.14341952048679432</v>
      </c>
      <c r="P78" s="2709">
        <f>SUM(T78:T80)</f>
        <v>15738667</v>
      </c>
      <c r="Q78" s="2320" t="s">
        <v>1573</v>
      </c>
      <c r="R78" s="2739" t="s">
        <v>1574</v>
      </c>
      <c r="S78" s="1789" t="s">
        <v>1575</v>
      </c>
      <c r="T78" s="1946">
        <v>3347000</v>
      </c>
      <c r="U78" s="1790">
        <v>88</v>
      </c>
      <c r="V78" s="1631" t="s">
        <v>466</v>
      </c>
      <c r="W78" s="2406">
        <v>1018</v>
      </c>
      <c r="X78" s="2719">
        <v>982</v>
      </c>
      <c r="Y78" s="2719">
        <v>466</v>
      </c>
      <c r="Z78" s="2719">
        <v>152</v>
      </c>
      <c r="AA78" s="2719">
        <v>1063</v>
      </c>
      <c r="AB78" s="2719">
        <v>319</v>
      </c>
      <c r="AC78" s="2719">
        <v>0</v>
      </c>
      <c r="AD78" s="2719">
        <v>0</v>
      </c>
      <c r="AE78" s="2719">
        <v>0</v>
      </c>
      <c r="AF78" s="2719">
        <v>0</v>
      </c>
      <c r="AG78" s="2719">
        <v>0</v>
      </c>
      <c r="AH78" s="2719">
        <v>0</v>
      </c>
      <c r="AI78" s="2719">
        <v>0</v>
      </c>
      <c r="AJ78" s="2719">
        <v>0</v>
      </c>
      <c r="AK78" s="2719">
        <v>0</v>
      </c>
      <c r="AL78" s="2719">
        <f>+W78+X78</f>
        <v>2000</v>
      </c>
      <c r="AM78" s="2730">
        <v>44077</v>
      </c>
      <c r="AN78" s="2730">
        <v>44195</v>
      </c>
      <c r="AO78" s="2689" t="s">
        <v>1486</v>
      </c>
    </row>
    <row r="79" spans="1:41" s="1427" customFormat="1" ht="63" customHeight="1" x14ac:dyDescent="0.2">
      <c r="A79" s="2746"/>
      <c r="B79" s="2746"/>
      <c r="C79" s="2747"/>
      <c r="D79" s="2749"/>
      <c r="E79" s="2751"/>
      <c r="F79" s="2681"/>
      <c r="G79" s="2204"/>
      <c r="H79" s="2206"/>
      <c r="I79" s="2247"/>
      <c r="J79" s="2247"/>
      <c r="K79" s="2206"/>
      <c r="L79" s="2206"/>
      <c r="M79" s="2668"/>
      <c r="N79" s="2247"/>
      <c r="O79" s="2722"/>
      <c r="P79" s="2670"/>
      <c r="Q79" s="2247"/>
      <c r="R79" s="2740"/>
      <c r="S79" s="1678" t="s">
        <v>1576</v>
      </c>
      <c r="T79" s="1939">
        <v>8391667</v>
      </c>
      <c r="U79" s="1749">
        <v>88</v>
      </c>
      <c r="V79" s="1632" t="s">
        <v>466</v>
      </c>
      <c r="W79" s="2406"/>
      <c r="X79" s="2719"/>
      <c r="Y79" s="2719"/>
      <c r="Z79" s="2719"/>
      <c r="AA79" s="2719"/>
      <c r="AB79" s="2719"/>
      <c r="AC79" s="2719"/>
      <c r="AD79" s="2719"/>
      <c r="AE79" s="2719"/>
      <c r="AF79" s="2719"/>
      <c r="AG79" s="2719"/>
      <c r="AH79" s="2719"/>
      <c r="AI79" s="2719"/>
      <c r="AJ79" s="2719"/>
      <c r="AK79" s="2719"/>
      <c r="AL79" s="2719"/>
      <c r="AM79" s="2730"/>
      <c r="AN79" s="2730"/>
      <c r="AO79" s="2689"/>
    </row>
    <row r="80" spans="1:41" s="1427" customFormat="1" ht="70.5" customHeight="1" x14ac:dyDescent="0.2">
      <c r="A80" s="2746"/>
      <c r="B80" s="2746"/>
      <c r="C80" s="2747"/>
      <c r="D80" s="2750"/>
      <c r="E80" s="2751"/>
      <c r="F80" s="2681"/>
      <c r="G80" s="2742"/>
      <c r="H80" s="2319"/>
      <c r="I80" s="2321"/>
      <c r="J80" s="2321"/>
      <c r="K80" s="2319"/>
      <c r="L80" s="2319"/>
      <c r="M80" s="2735"/>
      <c r="N80" s="2321"/>
      <c r="O80" s="2684"/>
      <c r="P80" s="2743"/>
      <c r="Q80" s="2321"/>
      <c r="R80" s="2741"/>
      <c r="S80" s="1791" t="s">
        <v>1577</v>
      </c>
      <c r="T80" s="1947">
        <v>4000000</v>
      </c>
      <c r="U80" s="1792">
        <v>88</v>
      </c>
      <c r="V80" s="1657" t="s">
        <v>466</v>
      </c>
      <c r="W80" s="2406"/>
      <c r="X80" s="2719"/>
      <c r="Y80" s="2719"/>
      <c r="Z80" s="2719"/>
      <c r="AA80" s="2719"/>
      <c r="AB80" s="2719"/>
      <c r="AC80" s="2719"/>
      <c r="AD80" s="2719"/>
      <c r="AE80" s="2719"/>
      <c r="AF80" s="2719"/>
      <c r="AG80" s="2719"/>
      <c r="AH80" s="2719"/>
      <c r="AI80" s="2719"/>
      <c r="AJ80" s="2719"/>
      <c r="AK80" s="2719"/>
      <c r="AL80" s="2719"/>
      <c r="AM80" s="2730"/>
      <c r="AN80" s="2730"/>
      <c r="AO80" s="2689"/>
    </row>
    <row r="81" spans="1:44" s="1427" customFormat="1" ht="27" customHeight="1" x14ac:dyDescent="0.2">
      <c r="A81" s="1761"/>
      <c r="B81" s="1761"/>
      <c r="C81" s="1762"/>
      <c r="D81" s="1003">
        <v>41</v>
      </c>
      <c r="E81" s="1083" t="s">
        <v>917</v>
      </c>
      <c r="F81" s="208"/>
      <c r="G81" s="209"/>
      <c r="H81" s="209"/>
      <c r="I81" s="210"/>
      <c r="J81" s="210"/>
      <c r="K81" s="211"/>
      <c r="L81" s="1490"/>
      <c r="M81" s="211"/>
      <c r="N81" s="210"/>
      <c r="O81" s="654"/>
      <c r="P81" s="1934"/>
      <c r="Q81" s="210"/>
      <c r="R81" s="210"/>
      <c r="S81" s="1793"/>
      <c r="T81" s="1934"/>
      <c r="U81" s="1788"/>
      <c r="V81" s="1490"/>
      <c r="W81" s="211"/>
      <c r="X81" s="211"/>
      <c r="Y81" s="211"/>
      <c r="Z81" s="211"/>
      <c r="AA81" s="211"/>
      <c r="AB81" s="211"/>
      <c r="AC81" s="211"/>
      <c r="AD81" s="211"/>
      <c r="AE81" s="211"/>
      <c r="AF81" s="211"/>
      <c r="AG81" s="211"/>
      <c r="AH81" s="211"/>
      <c r="AI81" s="211"/>
      <c r="AJ81" s="211"/>
      <c r="AK81" s="211"/>
      <c r="AL81" s="211"/>
      <c r="AM81" s="1774"/>
      <c r="AN81" s="1774"/>
      <c r="AO81" s="1775"/>
    </row>
    <row r="82" spans="1:44" s="1427" customFormat="1" ht="60" customHeight="1" x14ac:dyDescent="0.2">
      <c r="A82" s="1794"/>
      <c r="B82" s="1761"/>
      <c r="C82" s="1761"/>
      <c r="D82" s="1754"/>
      <c r="E82" s="1755"/>
      <c r="F82" s="1756"/>
      <c r="G82" s="2203" t="s">
        <v>567</v>
      </c>
      <c r="H82" s="2205" t="s">
        <v>1578</v>
      </c>
      <c r="I82" s="2320" t="s">
        <v>1579</v>
      </c>
      <c r="J82" s="2320" t="s">
        <v>1580</v>
      </c>
      <c r="K82" s="2205">
        <v>5</v>
      </c>
      <c r="L82" s="2205" t="s">
        <v>1581</v>
      </c>
      <c r="M82" s="2707" t="s">
        <v>1497</v>
      </c>
      <c r="N82" s="2320" t="s">
        <v>1498</v>
      </c>
      <c r="O82" s="2686">
        <f>(T82+T83+T84+T85+T86+T87+T88+T89+T90+T91+T92+T93+T94+T95+T96+T97)/(P82+P19+P22)</f>
        <v>0.986499096804488</v>
      </c>
      <c r="P82" s="2736">
        <f>SUM(T82:T97)</f>
        <v>2192073558.0100002</v>
      </c>
      <c r="Q82" s="2320" t="s">
        <v>1507</v>
      </c>
      <c r="R82" s="2739" t="s">
        <v>1500</v>
      </c>
      <c r="S82" s="1721" t="s">
        <v>1582</v>
      </c>
      <c r="T82" s="1946">
        <v>14000000</v>
      </c>
      <c r="U82" s="1776">
        <v>42</v>
      </c>
      <c r="V82" s="1631" t="s">
        <v>1583</v>
      </c>
      <c r="W82" s="2732">
        <v>295972</v>
      </c>
      <c r="X82" s="2726">
        <v>285580</v>
      </c>
      <c r="Y82" s="2726">
        <v>135545</v>
      </c>
      <c r="Z82" s="2726">
        <v>44254</v>
      </c>
      <c r="AA82" s="2726">
        <v>309146</v>
      </c>
      <c r="AB82" s="2726">
        <v>92607</v>
      </c>
      <c r="AC82" s="2726">
        <v>2145</v>
      </c>
      <c r="AD82" s="2726">
        <v>12718</v>
      </c>
      <c r="AE82" s="2726">
        <v>26</v>
      </c>
      <c r="AF82" s="2726">
        <v>12</v>
      </c>
      <c r="AG82" s="2726">
        <v>0</v>
      </c>
      <c r="AH82" s="2726">
        <v>0</v>
      </c>
      <c r="AI82" s="2726"/>
      <c r="AJ82" s="2726"/>
      <c r="AK82" s="2726"/>
      <c r="AL82" s="2729">
        <f>W82+X82</f>
        <v>581552</v>
      </c>
      <c r="AM82" s="2730">
        <v>43899</v>
      </c>
      <c r="AN82" s="2703">
        <v>44195</v>
      </c>
      <c r="AO82" s="2689" t="s">
        <v>1486</v>
      </c>
      <c r="AP82" s="1795"/>
      <c r="AQ82" s="1795"/>
      <c r="AR82" s="1796"/>
    </row>
    <row r="83" spans="1:44" s="1427" customFormat="1" ht="63.75" customHeight="1" x14ac:dyDescent="0.2">
      <c r="A83" s="1794"/>
      <c r="B83" s="1761"/>
      <c r="C83" s="1761"/>
      <c r="D83" s="1760"/>
      <c r="E83" s="1761"/>
      <c r="F83" s="1762"/>
      <c r="G83" s="2204"/>
      <c r="H83" s="2206"/>
      <c r="I83" s="2247"/>
      <c r="J83" s="2247"/>
      <c r="K83" s="2206"/>
      <c r="L83" s="2206"/>
      <c r="M83" s="2668"/>
      <c r="N83" s="2247"/>
      <c r="O83" s="2722"/>
      <c r="P83" s="2737"/>
      <c r="Q83" s="2247"/>
      <c r="R83" s="2740"/>
      <c r="S83" s="2723" t="s">
        <v>1584</v>
      </c>
      <c r="T83" s="1939">
        <v>160000000</v>
      </c>
      <c r="U83" s="1753">
        <v>92</v>
      </c>
      <c r="V83" s="1632" t="s">
        <v>1585</v>
      </c>
      <c r="W83" s="2733"/>
      <c r="X83" s="2727"/>
      <c r="Y83" s="2727"/>
      <c r="Z83" s="2727"/>
      <c r="AA83" s="2727"/>
      <c r="AB83" s="2727"/>
      <c r="AC83" s="2727"/>
      <c r="AD83" s="2727"/>
      <c r="AE83" s="2727"/>
      <c r="AF83" s="2727"/>
      <c r="AG83" s="2727"/>
      <c r="AH83" s="2727"/>
      <c r="AI83" s="2727"/>
      <c r="AJ83" s="2727"/>
      <c r="AK83" s="2727"/>
      <c r="AL83" s="2729"/>
      <c r="AM83" s="2730"/>
      <c r="AN83" s="2704"/>
      <c r="AO83" s="2689"/>
      <c r="AP83" s="1796"/>
      <c r="AQ83" s="1796"/>
      <c r="AR83" s="1796"/>
    </row>
    <row r="84" spans="1:44" s="1427" customFormat="1" ht="63.75" customHeight="1" x14ac:dyDescent="0.2">
      <c r="A84" s="1794"/>
      <c r="B84" s="1761"/>
      <c r="C84" s="1761"/>
      <c r="D84" s="1760"/>
      <c r="E84" s="1761"/>
      <c r="F84" s="1762"/>
      <c r="G84" s="2204"/>
      <c r="H84" s="2206"/>
      <c r="I84" s="2247"/>
      <c r="J84" s="2247"/>
      <c r="K84" s="2206"/>
      <c r="L84" s="2206"/>
      <c r="M84" s="2668"/>
      <c r="N84" s="2247"/>
      <c r="O84" s="2722"/>
      <c r="P84" s="2737"/>
      <c r="Q84" s="2247"/>
      <c r="R84" s="2740"/>
      <c r="S84" s="2302"/>
      <c r="T84" s="1939">
        <v>940000000</v>
      </c>
      <c r="U84" s="1753">
        <v>42</v>
      </c>
      <c r="V84" s="1632"/>
      <c r="W84" s="2733"/>
      <c r="X84" s="2727"/>
      <c r="Y84" s="2727"/>
      <c r="Z84" s="2727"/>
      <c r="AA84" s="2727"/>
      <c r="AB84" s="2727"/>
      <c r="AC84" s="2727"/>
      <c r="AD84" s="2727"/>
      <c r="AE84" s="2727"/>
      <c r="AF84" s="2727"/>
      <c r="AG84" s="2727"/>
      <c r="AH84" s="2727"/>
      <c r="AI84" s="2727"/>
      <c r="AJ84" s="2727"/>
      <c r="AK84" s="2727"/>
      <c r="AL84" s="2729"/>
      <c r="AM84" s="2730"/>
      <c r="AN84" s="2704"/>
      <c r="AO84" s="2689"/>
      <c r="AP84" s="1795"/>
      <c r="AQ84" s="1795"/>
      <c r="AR84" s="1795"/>
    </row>
    <row r="85" spans="1:44" s="1427" customFormat="1" ht="51" customHeight="1" x14ac:dyDescent="0.2">
      <c r="A85" s="1794"/>
      <c r="B85" s="1761"/>
      <c r="C85" s="1761"/>
      <c r="D85" s="1760"/>
      <c r="E85" s="1761"/>
      <c r="F85" s="1762"/>
      <c r="G85" s="2204"/>
      <c r="H85" s="2206"/>
      <c r="I85" s="2247"/>
      <c r="J85" s="2247"/>
      <c r="K85" s="2206"/>
      <c r="L85" s="2206"/>
      <c r="M85" s="2668"/>
      <c r="N85" s="2247"/>
      <c r="O85" s="2722"/>
      <c r="P85" s="2737"/>
      <c r="Q85" s="2247"/>
      <c r="R85" s="2740"/>
      <c r="S85" s="1717" t="s">
        <v>1586</v>
      </c>
      <c r="T85" s="1939">
        <v>100000000</v>
      </c>
      <c r="U85" s="1753">
        <v>42</v>
      </c>
      <c r="V85" s="1632" t="s">
        <v>1583</v>
      </c>
      <c r="W85" s="2733"/>
      <c r="X85" s="2727"/>
      <c r="Y85" s="2727"/>
      <c r="Z85" s="2727"/>
      <c r="AA85" s="2727"/>
      <c r="AB85" s="2727"/>
      <c r="AC85" s="2727"/>
      <c r="AD85" s="2727"/>
      <c r="AE85" s="2727"/>
      <c r="AF85" s="2727"/>
      <c r="AG85" s="2727"/>
      <c r="AH85" s="2727"/>
      <c r="AI85" s="2727"/>
      <c r="AJ85" s="2727"/>
      <c r="AK85" s="2727"/>
      <c r="AL85" s="2729"/>
      <c r="AM85" s="2730"/>
      <c r="AN85" s="2704"/>
      <c r="AO85" s="2689"/>
      <c r="AP85" s="1795"/>
      <c r="AQ85" s="1795"/>
      <c r="AR85" s="1795"/>
    </row>
    <row r="86" spans="1:44" s="1427" customFormat="1" ht="80.25" customHeight="1" x14ac:dyDescent="0.2">
      <c r="A86" s="1794"/>
      <c r="B86" s="1761"/>
      <c r="C86" s="1761"/>
      <c r="D86" s="1760"/>
      <c r="E86" s="1761"/>
      <c r="F86" s="1762"/>
      <c r="G86" s="2204"/>
      <c r="H86" s="2206"/>
      <c r="I86" s="2247"/>
      <c r="J86" s="2247"/>
      <c r="K86" s="2206"/>
      <c r="L86" s="2206"/>
      <c r="M86" s="2668"/>
      <c r="N86" s="2247"/>
      <c r="O86" s="2722"/>
      <c r="P86" s="2737"/>
      <c r="Q86" s="2247"/>
      <c r="R86" s="2740"/>
      <c r="S86" s="1717" t="s">
        <v>1587</v>
      </c>
      <c r="T86" s="1939">
        <f>2000000+119840000</f>
        <v>121840000</v>
      </c>
      <c r="U86" s="1753">
        <v>42</v>
      </c>
      <c r="V86" s="1632" t="s">
        <v>1583</v>
      </c>
      <c r="W86" s="2733"/>
      <c r="X86" s="2727"/>
      <c r="Y86" s="2727"/>
      <c r="Z86" s="2727"/>
      <c r="AA86" s="2727"/>
      <c r="AB86" s="2727"/>
      <c r="AC86" s="2727"/>
      <c r="AD86" s="2727"/>
      <c r="AE86" s="2727"/>
      <c r="AF86" s="2727"/>
      <c r="AG86" s="2727"/>
      <c r="AH86" s="2727"/>
      <c r="AI86" s="2727"/>
      <c r="AJ86" s="2727"/>
      <c r="AK86" s="2727"/>
      <c r="AL86" s="2729"/>
      <c r="AM86" s="2730"/>
      <c r="AN86" s="2704"/>
      <c r="AO86" s="2689"/>
      <c r="AP86" s="1795"/>
      <c r="AQ86" s="1795"/>
      <c r="AR86" s="1795"/>
    </row>
    <row r="87" spans="1:44" s="1427" customFormat="1" ht="80.25" customHeight="1" x14ac:dyDescent="0.2">
      <c r="A87" s="1794"/>
      <c r="B87" s="1761"/>
      <c r="C87" s="1761"/>
      <c r="D87" s="1760"/>
      <c r="E87" s="1761"/>
      <c r="F87" s="1762"/>
      <c r="G87" s="2204"/>
      <c r="H87" s="2206"/>
      <c r="I87" s="2247"/>
      <c r="J87" s="2247"/>
      <c r="K87" s="2206"/>
      <c r="L87" s="2206"/>
      <c r="M87" s="2668"/>
      <c r="N87" s="2247"/>
      <c r="O87" s="2722"/>
      <c r="P87" s="2737"/>
      <c r="Q87" s="2247"/>
      <c r="R87" s="2740"/>
      <c r="S87" s="1717" t="s">
        <v>1588</v>
      </c>
      <c r="T87" s="1939">
        <f>2600000+10000000</f>
        <v>12600000</v>
      </c>
      <c r="U87" s="1753">
        <v>42</v>
      </c>
      <c r="V87" s="1632" t="s">
        <v>1583</v>
      </c>
      <c r="W87" s="2733"/>
      <c r="X87" s="2727"/>
      <c r="Y87" s="2727"/>
      <c r="Z87" s="2727"/>
      <c r="AA87" s="2727"/>
      <c r="AB87" s="2727"/>
      <c r="AC87" s="2727"/>
      <c r="AD87" s="2727"/>
      <c r="AE87" s="2727"/>
      <c r="AF87" s="2727"/>
      <c r="AG87" s="2727"/>
      <c r="AH87" s="2727"/>
      <c r="AI87" s="2727"/>
      <c r="AJ87" s="2727"/>
      <c r="AK87" s="2727"/>
      <c r="AL87" s="2729"/>
      <c r="AM87" s="2730"/>
      <c r="AN87" s="2704"/>
      <c r="AO87" s="2689"/>
      <c r="AP87" s="1795"/>
      <c r="AQ87" s="1795"/>
      <c r="AR87" s="1795"/>
    </row>
    <row r="88" spans="1:44" s="1427" customFormat="1" ht="80.25" customHeight="1" x14ac:dyDescent="0.2">
      <c r="A88" s="1794"/>
      <c r="B88" s="1761"/>
      <c r="C88" s="1761"/>
      <c r="D88" s="1760"/>
      <c r="E88" s="1761"/>
      <c r="F88" s="1762"/>
      <c r="G88" s="2204"/>
      <c r="H88" s="2206"/>
      <c r="I88" s="2247"/>
      <c r="J88" s="2247"/>
      <c r="K88" s="2206"/>
      <c r="L88" s="2206"/>
      <c r="M88" s="2668"/>
      <c r="N88" s="2247"/>
      <c r="O88" s="2722"/>
      <c r="P88" s="2737"/>
      <c r="Q88" s="2247"/>
      <c r="R88" s="2740"/>
      <c r="S88" s="1717" t="s">
        <v>1589</v>
      </c>
      <c r="T88" s="1939">
        <v>50000000</v>
      </c>
      <c r="U88" s="1753">
        <v>42</v>
      </c>
      <c r="V88" s="1632" t="s">
        <v>1583</v>
      </c>
      <c r="W88" s="2733"/>
      <c r="X88" s="2727"/>
      <c r="Y88" s="2727"/>
      <c r="Z88" s="2727"/>
      <c r="AA88" s="2727"/>
      <c r="AB88" s="2727"/>
      <c r="AC88" s="2727"/>
      <c r="AD88" s="2727"/>
      <c r="AE88" s="2727"/>
      <c r="AF88" s="2727"/>
      <c r="AG88" s="2727"/>
      <c r="AH88" s="2727"/>
      <c r="AI88" s="2727"/>
      <c r="AJ88" s="2727"/>
      <c r="AK88" s="2727"/>
      <c r="AL88" s="2729"/>
      <c r="AM88" s="2730"/>
      <c r="AN88" s="2704"/>
      <c r="AO88" s="2689"/>
      <c r="AP88" s="1796"/>
      <c r="AQ88" s="1796"/>
      <c r="AR88" s="1796"/>
    </row>
    <row r="89" spans="1:44" s="1427" customFormat="1" ht="51" customHeight="1" x14ac:dyDescent="0.2">
      <c r="A89" s="1794"/>
      <c r="B89" s="1761"/>
      <c r="C89" s="1761"/>
      <c r="D89" s="1760"/>
      <c r="E89" s="1761"/>
      <c r="F89" s="1762"/>
      <c r="G89" s="2204"/>
      <c r="H89" s="2206"/>
      <c r="I89" s="2247"/>
      <c r="J89" s="2247"/>
      <c r="K89" s="2206"/>
      <c r="L89" s="2206"/>
      <c r="M89" s="2668"/>
      <c r="N89" s="2247"/>
      <c r="O89" s="2722"/>
      <c r="P89" s="2737"/>
      <c r="Q89" s="2247"/>
      <c r="R89" s="2740"/>
      <c r="S89" s="1717" t="s">
        <v>1590</v>
      </c>
      <c r="T89" s="1939">
        <v>40000000</v>
      </c>
      <c r="U89" s="1753">
        <v>42</v>
      </c>
      <c r="V89" s="1632" t="s">
        <v>1583</v>
      </c>
      <c r="W89" s="2733"/>
      <c r="X89" s="2727"/>
      <c r="Y89" s="2727"/>
      <c r="Z89" s="2727"/>
      <c r="AA89" s="2727"/>
      <c r="AB89" s="2727"/>
      <c r="AC89" s="2727"/>
      <c r="AD89" s="2727"/>
      <c r="AE89" s="2727"/>
      <c r="AF89" s="2727"/>
      <c r="AG89" s="2727"/>
      <c r="AH89" s="2727"/>
      <c r="AI89" s="2727"/>
      <c r="AJ89" s="2727"/>
      <c r="AK89" s="2727"/>
      <c r="AL89" s="2729"/>
      <c r="AM89" s="2730"/>
      <c r="AN89" s="2704"/>
      <c r="AO89" s="2689"/>
      <c r="AP89" s="1796"/>
      <c r="AQ89" s="1796"/>
      <c r="AR89" s="1796"/>
    </row>
    <row r="90" spans="1:44" s="1427" customFormat="1" ht="51" customHeight="1" x14ac:dyDescent="0.2">
      <c r="A90" s="1794"/>
      <c r="B90" s="1761"/>
      <c r="C90" s="1761"/>
      <c r="D90" s="1760"/>
      <c r="E90" s="1761"/>
      <c r="F90" s="1762"/>
      <c r="G90" s="2204"/>
      <c r="H90" s="2206"/>
      <c r="I90" s="2247"/>
      <c r="J90" s="2247"/>
      <c r="K90" s="2206"/>
      <c r="L90" s="2206"/>
      <c r="M90" s="2668"/>
      <c r="N90" s="2247"/>
      <c r="O90" s="2722"/>
      <c r="P90" s="2737"/>
      <c r="Q90" s="2247"/>
      <c r="R90" s="2740"/>
      <c r="S90" s="2724" t="s">
        <v>1591</v>
      </c>
      <c r="T90" s="1939">
        <v>328073558.00999999</v>
      </c>
      <c r="U90" s="1753">
        <v>92</v>
      </c>
      <c r="V90" s="1632" t="s">
        <v>1585</v>
      </c>
      <c r="W90" s="2733"/>
      <c r="X90" s="2727"/>
      <c r="Y90" s="2727"/>
      <c r="Z90" s="2727"/>
      <c r="AA90" s="2727"/>
      <c r="AB90" s="2727"/>
      <c r="AC90" s="2727"/>
      <c r="AD90" s="2727"/>
      <c r="AE90" s="2727"/>
      <c r="AF90" s="2727"/>
      <c r="AG90" s="2727"/>
      <c r="AH90" s="2727"/>
      <c r="AI90" s="2727"/>
      <c r="AJ90" s="2727"/>
      <c r="AK90" s="2727"/>
      <c r="AL90" s="2729"/>
      <c r="AM90" s="2730"/>
      <c r="AN90" s="2704"/>
      <c r="AO90" s="2689"/>
      <c r="AP90" s="1796"/>
      <c r="AQ90" s="1796"/>
      <c r="AR90" s="1796"/>
    </row>
    <row r="91" spans="1:44" s="1427" customFormat="1" ht="51" customHeight="1" x14ac:dyDescent="0.2">
      <c r="A91" s="1794"/>
      <c r="B91" s="1761"/>
      <c r="C91" s="1761"/>
      <c r="D91" s="1760"/>
      <c r="E91" s="1761"/>
      <c r="F91" s="1762"/>
      <c r="G91" s="2204"/>
      <c r="H91" s="2206"/>
      <c r="I91" s="2247"/>
      <c r="J91" s="2247"/>
      <c r="K91" s="2206"/>
      <c r="L91" s="2206"/>
      <c r="M91" s="2668"/>
      <c r="N91" s="2247"/>
      <c r="O91" s="2722"/>
      <c r="P91" s="2737"/>
      <c r="Q91" s="2247"/>
      <c r="R91" s="2740"/>
      <c r="S91" s="2724"/>
      <c r="T91" s="1939">
        <v>65160000</v>
      </c>
      <c r="U91" s="1753">
        <v>42</v>
      </c>
      <c r="V91" s="1632" t="s">
        <v>1583</v>
      </c>
      <c r="W91" s="2733"/>
      <c r="X91" s="2727"/>
      <c r="Y91" s="2727"/>
      <c r="Z91" s="2727"/>
      <c r="AA91" s="2727"/>
      <c r="AB91" s="2727"/>
      <c r="AC91" s="2727"/>
      <c r="AD91" s="2727"/>
      <c r="AE91" s="2727"/>
      <c r="AF91" s="2727"/>
      <c r="AG91" s="2727"/>
      <c r="AH91" s="2727"/>
      <c r="AI91" s="2727"/>
      <c r="AJ91" s="2727"/>
      <c r="AK91" s="2727"/>
      <c r="AL91" s="2729"/>
      <c r="AM91" s="2730"/>
      <c r="AN91" s="2704"/>
      <c r="AO91" s="2689"/>
    </row>
    <row r="92" spans="1:44" s="1427" customFormat="1" ht="51" customHeight="1" x14ac:dyDescent="0.2">
      <c r="A92" s="1794"/>
      <c r="B92" s="1761"/>
      <c r="C92" s="1761"/>
      <c r="D92" s="1760"/>
      <c r="E92" s="1761"/>
      <c r="F92" s="1762"/>
      <c r="G92" s="2204"/>
      <c r="H92" s="2206"/>
      <c r="I92" s="2247"/>
      <c r="J92" s="2247"/>
      <c r="K92" s="2206"/>
      <c r="L92" s="2206"/>
      <c r="M92" s="2668"/>
      <c r="N92" s="2247"/>
      <c r="O92" s="2722"/>
      <c r="P92" s="2737"/>
      <c r="Q92" s="2247"/>
      <c r="R92" s="2740"/>
      <c r="S92" s="2724" t="s">
        <v>1592</v>
      </c>
      <c r="T92" s="1939">
        <v>95000000</v>
      </c>
      <c r="U92" s="1753">
        <v>42</v>
      </c>
      <c r="V92" s="1632" t="s">
        <v>1583</v>
      </c>
      <c r="W92" s="2733"/>
      <c r="X92" s="2727"/>
      <c r="Y92" s="2727"/>
      <c r="Z92" s="2727"/>
      <c r="AA92" s="2727"/>
      <c r="AB92" s="2727"/>
      <c r="AC92" s="2727"/>
      <c r="AD92" s="2727"/>
      <c r="AE92" s="2727"/>
      <c r="AF92" s="2727"/>
      <c r="AG92" s="2727"/>
      <c r="AH92" s="2727"/>
      <c r="AI92" s="2727"/>
      <c r="AJ92" s="2727"/>
      <c r="AK92" s="2727"/>
      <c r="AL92" s="2729"/>
      <c r="AM92" s="2730"/>
      <c r="AN92" s="2704"/>
      <c r="AO92" s="2689"/>
    </row>
    <row r="93" spans="1:44" s="1427" customFormat="1" ht="51" customHeight="1" x14ac:dyDescent="0.2">
      <c r="A93" s="1794"/>
      <c r="B93" s="1761"/>
      <c r="C93" s="1761"/>
      <c r="D93" s="1760"/>
      <c r="E93" s="1761"/>
      <c r="F93" s="1762"/>
      <c r="G93" s="2204"/>
      <c r="H93" s="2206"/>
      <c r="I93" s="2247"/>
      <c r="J93" s="2247"/>
      <c r="K93" s="2206"/>
      <c r="L93" s="2206"/>
      <c r="M93" s="2668"/>
      <c r="N93" s="2247"/>
      <c r="O93" s="2722"/>
      <c r="P93" s="2737"/>
      <c r="Q93" s="2247"/>
      <c r="R93" s="2740"/>
      <c r="S93" s="2724"/>
      <c r="T93" s="1939">
        <v>80000000</v>
      </c>
      <c r="U93" s="1753">
        <v>92</v>
      </c>
      <c r="V93" s="1632" t="s">
        <v>1585</v>
      </c>
      <c r="W93" s="2733"/>
      <c r="X93" s="2727"/>
      <c r="Y93" s="2727"/>
      <c r="Z93" s="2727"/>
      <c r="AA93" s="2727"/>
      <c r="AB93" s="2727"/>
      <c r="AC93" s="2727"/>
      <c r="AD93" s="2727"/>
      <c r="AE93" s="2727"/>
      <c r="AF93" s="2727"/>
      <c r="AG93" s="2727"/>
      <c r="AH93" s="2727"/>
      <c r="AI93" s="2727"/>
      <c r="AJ93" s="2727"/>
      <c r="AK93" s="2727"/>
      <c r="AL93" s="2729"/>
      <c r="AM93" s="2730"/>
      <c r="AN93" s="2704"/>
      <c r="AO93" s="2689"/>
    </row>
    <row r="94" spans="1:44" s="1427" customFormat="1" ht="100.5" customHeight="1" x14ac:dyDescent="0.2">
      <c r="A94" s="1794"/>
      <c r="B94" s="1761"/>
      <c r="C94" s="1761"/>
      <c r="D94" s="1760"/>
      <c r="E94" s="1761"/>
      <c r="F94" s="1762"/>
      <c r="G94" s="2204"/>
      <c r="H94" s="2206"/>
      <c r="I94" s="2247"/>
      <c r="J94" s="2247"/>
      <c r="K94" s="2206"/>
      <c r="L94" s="2206"/>
      <c r="M94" s="2668"/>
      <c r="N94" s="2247"/>
      <c r="O94" s="2722"/>
      <c r="P94" s="2737"/>
      <c r="Q94" s="2247"/>
      <c r="R94" s="2740"/>
      <c r="S94" s="1717" t="s">
        <v>1593</v>
      </c>
      <c r="T94" s="1939">
        <v>5400000</v>
      </c>
      <c r="U94" s="1753">
        <v>42</v>
      </c>
      <c r="V94" s="1632" t="s">
        <v>1583</v>
      </c>
      <c r="W94" s="2733"/>
      <c r="X94" s="2727"/>
      <c r="Y94" s="2727"/>
      <c r="Z94" s="2727"/>
      <c r="AA94" s="2727"/>
      <c r="AB94" s="2727"/>
      <c r="AC94" s="2727"/>
      <c r="AD94" s="2727"/>
      <c r="AE94" s="2727"/>
      <c r="AF94" s="2727"/>
      <c r="AG94" s="2727"/>
      <c r="AH94" s="2727"/>
      <c r="AI94" s="2727"/>
      <c r="AJ94" s="2727"/>
      <c r="AK94" s="2727"/>
      <c r="AL94" s="2729"/>
      <c r="AM94" s="2730"/>
      <c r="AN94" s="2704"/>
      <c r="AO94" s="2689"/>
    </row>
    <row r="95" spans="1:44" s="1427" customFormat="1" ht="104.25" customHeight="1" x14ac:dyDescent="0.2">
      <c r="A95" s="1794"/>
      <c r="B95" s="1761"/>
      <c r="C95" s="1761"/>
      <c r="D95" s="1760"/>
      <c r="E95" s="1761"/>
      <c r="F95" s="1762"/>
      <c r="G95" s="2204"/>
      <c r="H95" s="2206"/>
      <c r="I95" s="2247"/>
      <c r="J95" s="2247"/>
      <c r="K95" s="2206"/>
      <c r="L95" s="2206"/>
      <c r="M95" s="2668"/>
      <c r="N95" s="2247"/>
      <c r="O95" s="2722"/>
      <c r="P95" s="2737"/>
      <c r="Q95" s="2247"/>
      <c r="R95" s="2740"/>
      <c r="S95" s="1717" t="s">
        <v>1594</v>
      </c>
      <c r="T95" s="1939">
        <v>140000000</v>
      </c>
      <c r="U95" s="1753">
        <v>42</v>
      </c>
      <c r="V95" s="1632" t="s">
        <v>1583</v>
      </c>
      <c r="W95" s="2733"/>
      <c r="X95" s="2727"/>
      <c r="Y95" s="2727"/>
      <c r="Z95" s="2727"/>
      <c r="AA95" s="2727"/>
      <c r="AB95" s="2727"/>
      <c r="AC95" s="2727"/>
      <c r="AD95" s="2727"/>
      <c r="AE95" s="2727"/>
      <c r="AF95" s="2727"/>
      <c r="AG95" s="2727"/>
      <c r="AH95" s="2727"/>
      <c r="AI95" s="2727"/>
      <c r="AJ95" s="2727"/>
      <c r="AK95" s="2727"/>
      <c r="AL95" s="2729"/>
      <c r="AM95" s="2730"/>
      <c r="AN95" s="2704"/>
      <c r="AO95" s="2689"/>
    </row>
    <row r="96" spans="1:44" s="1427" customFormat="1" ht="51" customHeight="1" x14ac:dyDescent="0.2">
      <c r="A96" s="1794"/>
      <c r="B96" s="1761"/>
      <c r="C96" s="1761"/>
      <c r="D96" s="1760"/>
      <c r="E96" s="1761"/>
      <c r="F96" s="1762"/>
      <c r="G96" s="2204"/>
      <c r="H96" s="2206"/>
      <c r="I96" s="2247"/>
      <c r="J96" s="2247"/>
      <c r="K96" s="2206"/>
      <c r="L96" s="2206"/>
      <c r="M96" s="2668"/>
      <c r="N96" s="2247"/>
      <c r="O96" s="2722"/>
      <c r="P96" s="2737"/>
      <c r="Q96" s="2247"/>
      <c r="R96" s="2740"/>
      <c r="S96" s="2426" t="s">
        <v>1582</v>
      </c>
      <c r="T96" s="1939">
        <v>40000000</v>
      </c>
      <c r="U96" s="1753">
        <v>92</v>
      </c>
      <c r="V96" s="1632" t="s">
        <v>1585</v>
      </c>
      <c r="W96" s="2733"/>
      <c r="X96" s="2727"/>
      <c r="Y96" s="2727"/>
      <c r="Z96" s="2727"/>
      <c r="AA96" s="2727"/>
      <c r="AB96" s="2727"/>
      <c r="AC96" s="2727"/>
      <c r="AD96" s="2727"/>
      <c r="AE96" s="2727"/>
      <c r="AF96" s="2727"/>
      <c r="AG96" s="2727"/>
      <c r="AH96" s="2727"/>
      <c r="AI96" s="2727"/>
      <c r="AJ96" s="2727"/>
      <c r="AK96" s="2727"/>
      <c r="AL96" s="2729"/>
      <c r="AM96" s="2730"/>
      <c r="AN96" s="2704"/>
      <c r="AO96" s="2689"/>
    </row>
    <row r="97" spans="1:41" s="1427" customFormat="1" ht="51" customHeight="1" x14ac:dyDescent="0.2">
      <c r="A97" s="1794"/>
      <c r="B97" s="1761"/>
      <c r="C97" s="1761"/>
      <c r="D97" s="1760"/>
      <c r="E97" s="1761"/>
      <c r="F97" s="1762"/>
      <c r="G97" s="2742"/>
      <c r="H97" s="2319"/>
      <c r="I97" s="2321"/>
      <c r="J97" s="2321"/>
      <c r="K97" s="2319"/>
      <c r="L97" s="2319"/>
      <c r="M97" s="2735"/>
      <c r="N97" s="2321"/>
      <c r="O97" s="2684"/>
      <c r="P97" s="2738"/>
      <c r="Q97" s="2321"/>
      <c r="R97" s="2741"/>
      <c r="S97" s="2725"/>
      <c r="T97" s="1947">
        <v>0</v>
      </c>
      <c r="U97" s="1770">
        <v>42</v>
      </c>
      <c r="V97" s="1657" t="s">
        <v>1583</v>
      </c>
      <c r="W97" s="2734"/>
      <c r="X97" s="2728"/>
      <c r="Y97" s="2728"/>
      <c r="Z97" s="2728"/>
      <c r="AA97" s="2728"/>
      <c r="AB97" s="2728"/>
      <c r="AC97" s="2728"/>
      <c r="AD97" s="2728"/>
      <c r="AE97" s="2728"/>
      <c r="AF97" s="2728"/>
      <c r="AG97" s="2728"/>
      <c r="AH97" s="2728"/>
      <c r="AI97" s="2728"/>
      <c r="AJ97" s="2728"/>
      <c r="AK97" s="2728"/>
      <c r="AL97" s="2726"/>
      <c r="AM97" s="2703"/>
      <c r="AN97" s="2731"/>
      <c r="AO97" s="2690"/>
    </row>
    <row r="98" spans="1:41" s="339" customFormat="1" ht="36" customHeight="1" x14ac:dyDescent="0.2">
      <c r="A98" s="1794"/>
      <c r="B98" s="1761"/>
      <c r="C98" s="1761"/>
      <c r="D98" s="1760"/>
      <c r="E98" s="1761"/>
      <c r="F98" s="1762"/>
      <c r="G98" s="2204">
        <v>4501024</v>
      </c>
      <c r="H98" s="2206" t="s">
        <v>1595</v>
      </c>
      <c r="I98" s="2247" t="s">
        <v>918</v>
      </c>
      <c r="J98" s="2247" t="s">
        <v>1596</v>
      </c>
      <c r="K98" s="2206">
        <v>10</v>
      </c>
      <c r="L98" s="2668" t="s">
        <v>1597</v>
      </c>
      <c r="M98" s="2668" t="s">
        <v>1571</v>
      </c>
      <c r="N98" s="2247" t="s">
        <v>1572</v>
      </c>
      <c r="O98" s="2722">
        <f>(T98+T99+T100+T101+T102+T103+T104+T105+T106+T107+T108+T109)/(P78+P98)</f>
        <v>0.85658047951320571</v>
      </c>
      <c r="P98" s="2670">
        <f>SUM(T98:T109)</f>
        <v>94000000</v>
      </c>
      <c r="Q98" s="2247" t="s">
        <v>1573</v>
      </c>
      <c r="R98" s="2247" t="s">
        <v>1574</v>
      </c>
      <c r="S98" s="1797" t="s">
        <v>1598</v>
      </c>
      <c r="T98" s="1948">
        <v>1000000</v>
      </c>
      <c r="U98" s="1639">
        <v>88</v>
      </c>
      <c r="V98" s="1649" t="s">
        <v>466</v>
      </c>
      <c r="W98" s="2717">
        <v>1018</v>
      </c>
      <c r="X98" s="2717">
        <v>982</v>
      </c>
      <c r="Y98" s="2717">
        <v>466</v>
      </c>
      <c r="Z98" s="2717">
        <v>152</v>
      </c>
      <c r="AA98" s="2717">
        <v>1063</v>
      </c>
      <c r="AB98" s="2717">
        <v>319</v>
      </c>
      <c r="AC98" s="2717">
        <v>0</v>
      </c>
      <c r="AD98" s="2717">
        <v>0</v>
      </c>
      <c r="AE98" s="2717">
        <v>0</v>
      </c>
      <c r="AF98" s="2717">
        <v>0</v>
      </c>
      <c r="AG98" s="2717">
        <v>0</v>
      </c>
      <c r="AH98" s="2717">
        <v>0</v>
      </c>
      <c r="AI98" s="2717">
        <v>0</v>
      </c>
      <c r="AJ98" s="2717">
        <v>0</v>
      </c>
      <c r="AK98" s="2717">
        <v>0</v>
      </c>
      <c r="AL98" s="2718">
        <f>+W98+X98</f>
        <v>2000</v>
      </c>
      <c r="AM98" s="2721">
        <v>44077</v>
      </c>
      <c r="AN98" s="2704">
        <v>44195</v>
      </c>
      <c r="AO98" s="2710" t="s">
        <v>1486</v>
      </c>
    </row>
    <row r="99" spans="1:41" s="339" customFormat="1" ht="41.25" customHeight="1" x14ac:dyDescent="0.2">
      <c r="A99" s="1794"/>
      <c r="B99" s="1761"/>
      <c r="C99" s="1761"/>
      <c r="D99" s="1760"/>
      <c r="E99" s="1761"/>
      <c r="F99" s="1762"/>
      <c r="G99" s="2204"/>
      <c r="H99" s="2206"/>
      <c r="I99" s="2247"/>
      <c r="J99" s="2247"/>
      <c r="K99" s="2206"/>
      <c r="L99" s="2668"/>
      <c r="M99" s="2668"/>
      <c r="N99" s="2247"/>
      <c r="O99" s="2722"/>
      <c r="P99" s="2670"/>
      <c r="Q99" s="2247"/>
      <c r="R99" s="2247"/>
      <c r="S99" s="1797" t="s">
        <v>1599</v>
      </c>
      <c r="T99" s="1949">
        <v>1000000</v>
      </c>
      <c r="U99" s="1654">
        <v>88</v>
      </c>
      <c r="V99" s="1649" t="s">
        <v>466</v>
      </c>
      <c r="W99" s="2717"/>
      <c r="X99" s="2717"/>
      <c r="Y99" s="2717"/>
      <c r="Z99" s="2717"/>
      <c r="AA99" s="2717"/>
      <c r="AB99" s="2717"/>
      <c r="AC99" s="2717"/>
      <c r="AD99" s="2717"/>
      <c r="AE99" s="2717"/>
      <c r="AF99" s="2717"/>
      <c r="AG99" s="2717"/>
      <c r="AH99" s="2717"/>
      <c r="AI99" s="2717"/>
      <c r="AJ99" s="2717"/>
      <c r="AK99" s="2717"/>
      <c r="AL99" s="2719"/>
      <c r="AM99" s="2721"/>
      <c r="AN99" s="2704"/>
      <c r="AO99" s="2689"/>
    </row>
    <row r="100" spans="1:41" s="339" customFormat="1" ht="35.25" customHeight="1" x14ac:dyDescent="0.2">
      <c r="A100" s="1794"/>
      <c r="B100" s="1761"/>
      <c r="C100" s="1761"/>
      <c r="D100" s="1760"/>
      <c r="E100" s="1761"/>
      <c r="F100" s="1762"/>
      <c r="G100" s="2204"/>
      <c r="H100" s="2206"/>
      <c r="I100" s="2247"/>
      <c r="J100" s="2247"/>
      <c r="K100" s="2206"/>
      <c r="L100" s="2668"/>
      <c r="M100" s="2668"/>
      <c r="N100" s="2247"/>
      <c r="O100" s="2722"/>
      <c r="P100" s="2670"/>
      <c r="Q100" s="2247"/>
      <c r="R100" s="2623"/>
      <c r="S100" s="2712" t="s">
        <v>1600</v>
      </c>
      <c r="T100" s="1950">
        <v>8000000</v>
      </c>
      <c r="U100" s="1654">
        <v>88</v>
      </c>
      <c r="V100" s="1649" t="s">
        <v>466</v>
      </c>
      <c r="W100" s="2717"/>
      <c r="X100" s="2717"/>
      <c r="Y100" s="2717"/>
      <c r="Z100" s="2717"/>
      <c r="AA100" s="2717"/>
      <c r="AB100" s="2717"/>
      <c r="AC100" s="2717"/>
      <c r="AD100" s="2717"/>
      <c r="AE100" s="2717"/>
      <c r="AF100" s="2717"/>
      <c r="AG100" s="2717"/>
      <c r="AH100" s="2717"/>
      <c r="AI100" s="2717"/>
      <c r="AJ100" s="2717"/>
      <c r="AK100" s="2717"/>
      <c r="AL100" s="2719"/>
      <c r="AM100" s="2721"/>
      <c r="AN100" s="2704"/>
      <c r="AO100" s="2689"/>
    </row>
    <row r="101" spans="1:41" s="339" customFormat="1" ht="36" customHeight="1" x14ac:dyDescent="0.2">
      <c r="A101" s="1794"/>
      <c r="B101" s="1761"/>
      <c r="C101" s="1761"/>
      <c r="D101" s="1760"/>
      <c r="E101" s="1761"/>
      <c r="F101" s="1762"/>
      <c r="G101" s="2204"/>
      <c r="H101" s="2206"/>
      <c r="I101" s="2247"/>
      <c r="J101" s="2247"/>
      <c r="K101" s="2206"/>
      <c r="L101" s="2668"/>
      <c r="M101" s="2668"/>
      <c r="N101" s="2247"/>
      <c r="O101" s="2722"/>
      <c r="P101" s="2670"/>
      <c r="Q101" s="2247"/>
      <c r="R101" s="2623"/>
      <c r="S101" s="2712"/>
      <c r="T101" s="1950">
        <f>6686667+12000000</f>
        <v>18686667</v>
      </c>
      <c r="U101" s="1654">
        <v>20</v>
      </c>
      <c r="V101" s="1649" t="s">
        <v>70</v>
      </c>
      <c r="W101" s="2717"/>
      <c r="X101" s="2717"/>
      <c r="Y101" s="2717"/>
      <c r="Z101" s="2717"/>
      <c r="AA101" s="2717"/>
      <c r="AB101" s="2717"/>
      <c r="AC101" s="2717"/>
      <c r="AD101" s="2717"/>
      <c r="AE101" s="2717"/>
      <c r="AF101" s="2717"/>
      <c r="AG101" s="2717"/>
      <c r="AH101" s="2717"/>
      <c r="AI101" s="2717"/>
      <c r="AJ101" s="2717"/>
      <c r="AK101" s="2717"/>
      <c r="AL101" s="2719"/>
      <c r="AM101" s="2721"/>
      <c r="AN101" s="2704"/>
      <c r="AO101" s="2689"/>
    </row>
    <row r="102" spans="1:41" s="339" customFormat="1" ht="61.5" customHeight="1" x14ac:dyDescent="0.2">
      <c r="A102" s="1794"/>
      <c r="B102" s="1761"/>
      <c r="C102" s="1761"/>
      <c r="D102" s="1760"/>
      <c r="E102" s="1761"/>
      <c r="F102" s="1762"/>
      <c r="G102" s="2204"/>
      <c r="H102" s="2206"/>
      <c r="I102" s="2247"/>
      <c r="J102" s="2247"/>
      <c r="K102" s="2206"/>
      <c r="L102" s="2668"/>
      <c r="M102" s="2668"/>
      <c r="N102" s="2247"/>
      <c r="O102" s="2722"/>
      <c r="P102" s="2670"/>
      <c r="Q102" s="2247"/>
      <c r="R102" s="2247"/>
      <c r="S102" s="1798" t="s">
        <v>1601</v>
      </c>
      <c r="T102" s="1949">
        <v>6000000</v>
      </c>
      <c r="U102" s="1654">
        <v>88</v>
      </c>
      <c r="V102" s="1649" t="s">
        <v>466</v>
      </c>
      <c r="W102" s="2717"/>
      <c r="X102" s="2717"/>
      <c r="Y102" s="2717"/>
      <c r="Z102" s="2717"/>
      <c r="AA102" s="2717"/>
      <c r="AB102" s="2717"/>
      <c r="AC102" s="2717"/>
      <c r="AD102" s="2717"/>
      <c r="AE102" s="2717"/>
      <c r="AF102" s="2717"/>
      <c r="AG102" s="2717"/>
      <c r="AH102" s="2717"/>
      <c r="AI102" s="2717"/>
      <c r="AJ102" s="2717"/>
      <c r="AK102" s="2717"/>
      <c r="AL102" s="2719"/>
      <c r="AM102" s="2721"/>
      <c r="AN102" s="2704"/>
      <c r="AO102" s="2689"/>
    </row>
    <row r="103" spans="1:41" s="339" customFormat="1" ht="29.25" customHeight="1" x14ac:dyDescent="0.2">
      <c r="A103" s="1794"/>
      <c r="B103" s="1761"/>
      <c r="C103" s="1761"/>
      <c r="D103" s="1760"/>
      <c r="E103" s="1761"/>
      <c r="F103" s="1762"/>
      <c r="G103" s="2204"/>
      <c r="H103" s="2206"/>
      <c r="I103" s="2247"/>
      <c r="J103" s="2247"/>
      <c r="K103" s="2206"/>
      <c r="L103" s="2668"/>
      <c r="M103" s="2668"/>
      <c r="N103" s="2247"/>
      <c r="O103" s="2722"/>
      <c r="P103" s="2670"/>
      <c r="Q103" s="2247"/>
      <c r="R103" s="2247"/>
      <c r="S103" s="2713" t="s">
        <v>1602</v>
      </c>
      <c r="T103" s="1949">
        <v>6608333</v>
      </c>
      <c r="U103" s="1654">
        <v>88</v>
      </c>
      <c r="V103" s="1649" t="s">
        <v>466</v>
      </c>
      <c r="W103" s="2717"/>
      <c r="X103" s="2717"/>
      <c r="Y103" s="2717"/>
      <c r="Z103" s="2717"/>
      <c r="AA103" s="2717"/>
      <c r="AB103" s="2717"/>
      <c r="AC103" s="2717"/>
      <c r="AD103" s="2717"/>
      <c r="AE103" s="2717"/>
      <c r="AF103" s="2717"/>
      <c r="AG103" s="2717"/>
      <c r="AH103" s="2717"/>
      <c r="AI103" s="2717"/>
      <c r="AJ103" s="2717"/>
      <c r="AK103" s="2717"/>
      <c r="AL103" s="2719"/>
      <c r="AM103" s="2721"/>
      <c r="AN103" s="2704"/>
      <c r="AO103" s="2689"/>
    </row>
    <row r="104" spans="1:41" s="339" customFormat="1" ht="36" customHeight="1" x14ac:dyDescent="0.2">
      <c r="A104" s="1794"/>
      <c r="B104" s="1761"/>
      <c r="C104" s="1761"/>
      <c r="D104" s="1760"/>
      <c r="E104" s="1761"/>
      <c r="F104" s="1762"/>
      <c r="G104" s="2204"/>
      <c r="H104" s="2206"/>
      <c r="I104" s="2247"/>
      <c r="J104" s="2247"/>
      <c r="K104" s="2206"/>
      <c r="L104" s="2668"/>
      <c r="M104" s="2668"/>
      <c r="N104" s="2247"/>
      <c r="O104" s="2722"/>
      <c r="P104" s="2670"/>
      <c r="Q104" s="2247"/>
      <c r="R104" s="2247"/>
      <c r="S104" s="2714"/>
      <c r="T104" s="1949">
        <f>5997334+15391667</f>
        <v>21389001</v>
      </c>
      <c r="U104" s="1654">
        <v>20</v>
      </c>
      <c r="V104" s="1649" t="s">
        <v>70</v>
      </c>
      <c r="W104" s="2717"/>
      <c r="X104" s="2717"/>
      <c r="Y104" s="2717"/>
      <c r="Z104" s="2717"/>
      <c r="AA104" s="2717"/>
      <c r="AB104" s="2717"/>
      <c r="AC104" s="2717"/>
      <c r="AD104" s="2717"/>
      <c r="AE104" s="2717"/>
      <c r="AF104" s="2717"/>
      <c r="AG104" s="2717"/>
      <c r="AH104" s="2717"/>
      <c r="AI104" s="2717"/>
      <c r="AJ104" s="2717"/>
      <c r="AK104" s="2717"/>
      <c r="AL104" s="2719"/>
      <c r="AM104" s="2721"/>
      <c r="AN104" s="2704"/>
      <c r="AO104" s="2689"/>
    </row>
    <row r="105" spans="1:41" s="339" customFormat="1" ht="40.5" customHeight="1" x14ac:dyDescent="0.2">
      <c r="A105" s="1794"/>
      <c r="B105" s="1761"/>
      <c r="C105" s="1761"/>
      <c r="D105" s="1760"/>
      <c r="E105" s="1761"/>
      <c r="F105" s="1762"/>
      <c r="G105" s="2204"/>
      <c r="H105" s="2206"/>
      <c r="I105" s="2247"/>
      <c r="J105" s="2247"/>
      <c r="K105" s="2206"/>
      <c r="L105" s="2668"/>
      <c r="M105" s="2668"/>
      <c r="N105" s="2247"/>
      <c r="O105" s="2722"/>
      <c r="P105" s="2670"/>
      <c r="Q105" s="2247"/>
      <c r="R105" s="2247"/>
      <c r="S105" s="2715" t="s">
        <v>1603</v>
      </c>
      <c r="T105" s="1949">
        <v>8891667</v>
      </c>
      <c r="U105" s="1654">
        <v>88</v>
      </c>
      <c r="V105" s="1649" t="s">
        <v>466</v>
      </c>
      <c r="W105" s="2717"/>
      <c r="X105" s="2717"/>
      <c r="Y105" s="2717"/>
      <c r="Z105" s="2717"/>
      <c r="AA105" s="2717"/>
      <c r="AB105" s="2717"/>
      <c r="AC105" s="2717"/>
      <c r="AD105" s="2717"/>
      <c r="AE105" s="2717"/>
      <c r="AF105" s="2717"/>
      <c r="AG105" s="2717"/>
      <c r="AH105" s="2717"/>
      <c r="AI105" s="2717"/>
      <c r="AJ105" s="2717"/>
      <c r="AK105" s="2717"/>
      <c r="AL105" s="2719"/>
      <c r="AM105" s="2721"/>
      <c r="AN105" s="2704"/>
      <c r="AO105" s="2689"/>
    </row>
    <row r="106" spans="1:41" s="339" customFormat="1" ht="43.5" customHeight="1" x14ac:dyDescent="0.2">
      <c r="A106" s="1794"/>
      <c r="B106" s="1761"/>
      <c r="C106" s="1761"/>
      <c r="D106" s="1760"/>
      <c r="E106" s="1761"/>
      <c r="F106" s="1762"/>
      <c r="G106" s="2204"/>
      <c r="H106" s="2206"/>
      <c r="I106" s="2247"/>
      <c r="J106" s="2247"/>
      <c r="K106" s="2206"/>
      <c r="L106" s="2668"/>
      <c r="M106" s="2668"/>
      <c r="N106" s="2247"/>
      <c r="O106" s="2722"/>
      <c r="P106" s="2670"/>
      <c r="Q106" s="2247"/>
      <c r="R106" s="2247"/>
      <c r="S106" s="2716"/>
      <c r="T106" s="1949">
        <v>3600000</v>
      </c>
      <c r="U106" s="1654">
        <v>20</v>
      </c>
      <c r="V106" s="1649" t="s">
        <v>70</v>
      </c>
      <c r="W106" s="2717"/>
      <c r="X106" s="2717"/>
      <c r="Y106" s="2717"/>
      <c r="Z106" s="2717"/>
      <c r="AA106" s="2717"/>
      <c r="AB106" s="2717"/>
      <c r="AC106" s="2717"/>
      <c r="AD106" s="2717"/>
      <c r="AE106" s="2717"/>
      <c r="AF106" s="2717"/>
      <c r="AG106" s="2717"/>
      <c r="AH106" s="2717"/>
      <c r="AI106" s="2717"/>
      <c r="AJ106" s="2717"/>
      <c r="AK106" s="2717"/>
      <c r="AL106" s="2719"/>
      <c r="AM106" s="2721"/>
      <c r="AN106" s="2704"/>
      <c r="AO106" s="2689"/>
    </row>
    <row r="107" spans="1:41" s="339" customFormat="1" ht="31.5" customHeight="1" x14ac:dyDescent="0.2">
      <c r="A107" s="1794"/>
      <c r="B107" s="1761"/>
      <c r="C107" s="1761"/>
      <c r="D107" s="1760"/>
      <c r="E107" s="1761"/>
      <c r="F107" s="1762"/>
      <c r="G107" s="2204"/>
      <c r="H107" s="2206"/>
      <c r="I107" s="2247"/>
      <c r="J107" s="2247"/>
      <c r="K107" s="2206"/>
      <c r="L107" s="2668"/>
      <c r="M107" s="2668"/>
      <c r="N107" s="2247"/>
      <c r="O107" s="2722"/>
      <c r="P107" s="2670"/>
      <c r="Q107" s="2247"/>
      <c r="R107" s="2247"/>
      <c r="S107" s="2713" t="s">
        <v>1604</v>
      </c>
      <c r="T107" s="1949">
        <v>5000000</v>
      </c>
      <c r="U107" s="1654">
        <v>88</v>
      </c>
      <c r="V107" s="1649" t="s">
        <v>466</v>
      </c>
      <c r="W107" s="2717"/>
      <c r="X107" s="2717"/>
      <c r="Y107" s="2717"/>
      <c r="Z107" s="2717"/>
      <c r="AA107" s="2717"/>
      <c r="AB107" s="2717"/>
      <c r="AC107" s="2717"/>
      <c r="AD107" s="2717"/>
      <c r="AE107" s="2717"/>
      <c r="AF107" s="2717"/>
      <c r="AG107" s="2717"/>
      <c r="AH107" s="2717"/>
      <c r="AI107" s="2717"/>
      <c r="AJ107" s="2717"/>
      <c r="AK107" s="2717"/>
      <c r="AL107" s="2719"/>
      <c r="AM107" s="2721"/>
      <c r="AN107" s="2704"/>
      <c r="AO107" s="2689"/>
    </row>
    <row r="108" spans="1:41" s="339" customFormat="1" ht="36.75" customHeight="1" x14ac:dyDescent="0.2">
      <c r="A108" s="1794"/>
      <c r="B108" s="1761"/>
      <c r="C108" s="1761"/>
      <c r="D108" s="1760"/>
      <c r="E108" s="1761"/>
      <c r="F108" s="1762"/>
      <c r="G108" s="2204"/>
      <c r="H108" s="2206"/>
      <c r="I108" s="2247"/>
      <c r="J108" s="2247"/>
      <c r="K108" s="2206"/>
      <c r="L108" s="2668"/>
      <c r="M108" s="2668"/>
      <c r="N108" s="2247"/>
      <c r="O108" s="2722"/>
      <c r="P108" s="2670"/>
      <c r="Q108" s="2247"/>
      <c r="R108" s="2247"/>
      <c r="S108" s="2714"/>
      <c r="T108" s="1949">
        <f>3108333+7715999</f>
        <v>10824332</v>
      </c>
      <c r="U108" s="1654">
        <v>20</v>
      </c>
      <c r="V108" s="1649" t="s">
        <v>70</v>
      </c>
      <c r="W108" s="2717"/>
      <c r="X108" s="2717"/>
      <c r="Y108" s="2717"/>
      <c r="Z108" s="2717"/>
      <c r="AA108" s="2717"/>
      <c r="AB108" s="2717"/>
      <c r="AC108" s="2717"/>
      <c r="AD108" s="2717"/>
      <c r="AE108" s="2717"/>
      <c r="AF108" s="2717"/>
      <c r="AG108" s="2717"/>
      <c r="AH108" s="2717"/>
      <c r="AI108" s="2717"/>
      <c r="AJ108" s="2717"/>
      <c r="AK108" s="2717"/>
      <c r="AL108" s="2719"/>
      <c r="AM108" s="2721"/>
      <c r="AN108" s="2704"/>
      <c r="AO108" s="2689"/>
    </row>
    <row r="109" spans="1:41" s="339" customFormat="1" ht="53.25" customHeight="1" x14ac:dyDescent="0.2">
      <c r="A109" s="1794"/>
      <c r="B109" s="1761"/>
      <c r="C109" s="1761"/>
      <c r="D109" s="1760"/>
      <c r="E109" s="1761"/>
      <c r="F109" s="1762"/>
      <c r="G109" s="2204"/>
      <c r="H109" s="2206"/>
      <c r="I109" s="2247"/>
      <c r="J109" s="2247"/>
      <c r="K109" s="2206"/>
      <c r="L109" s="2668"/>
      <c r="M109" s="2668"/>
      <c r="N109" s="2247"/>
      <c r="O109" s="2722"/>
      <c r="P109" s="2670"/>
      <c r="Q109" s="2247"/>
      <c r="R109" s="2247"/>
      <c r="S109" s="1798" t="s">
        <v>1605</v>
      </c>
      <c r="T109" s="1949">
        <v>3000000</v>
      </c>
      <c r="U109" s="1654">
        <v>88</v>
      </c>
      <c r="V109" s="1649" t="s">
        <v>466</v>
      </c>
      <c r="W109" s="2717"/>
      <c r="X109" s="2717"/>
      <c r="Y109" s="2717"/>
      <c r="Z109" s="2717"/>
      <c r="AA109" s="2717"/>
      <c r="AB109" s="2717"/>
      <c r="AC109" s="2717"/>
      <c r="AD109" s="2717"/>
      <c r="AE109" s="2717"/>
      <c r="AF109" s="2717"/>
      <c r="AG109" s="2717"/>
      <c r="AH109" s="2717"/>
      <c r="AI109" s="2717"/>
      <c r="AJ109" s="2717"/>
      <c r="AK109" s="2717"/>
      <c r="AL109" s="2720"/>
      <c r="AM109" s="2721"/>
      <c r="AN109" s="2704"/>
      <c r="AO109" s="2711"/>
    </row>
    <row r="110" spans="1:41" s="339" customFormat="1" ht="65.25" customHeight="1" x14ac:dyDescent="0.2">
      <c r="A110" s="1794"/>
      <c r="B110" s="1761"/>
      <c r="C110" s="1761"/>
      <c r="D110" s="1760"/>
      <c r="E110" s="1761"/>
      <c r="F110" s="1762"/>
      <c r="G110" s="2203">
        <v>4501001</v>
      </c>
      <c r="H110" s="2205" t="s">
        <v>1606</v>
      </c>
      <c r="I110" s="2320" t="s">
        <v>1607</v>
      </c>
      <c r="J110" s="2320" t="s">
        <v>1608</v>
      </c>
      <c r="K110" s="2205">
        <v>12</v>
      </c>
      <c r="L110" s="2205" t="s">
        <v>1609</v>
      </c>
      <c r="M110" s="2707" t="s">
        <v>1610</v>
      </c>
      <c r="N110" s="2320" t="s">
        <v>1611</v>
      </c>
      <c r="O110" s="2708">
        <f>SUM(T110:T113)/P110</f>
        <v>1</v>
      </c>
      <c r="P110" s="2709">
        <f>SUM(T110:T113)</f>
        <v>75000000</v>
      </c>
      <c r="Q110" s="2320" t="s">
        <v>1612</v>
      </c>
      <c r="R110" s="2320" t="s">
        <v>1613</v>
      </c>
      <c r="S110" s="1799" t="s">
        <v>1614</v>
      </c>
      <c r="T110" s="1946">
        <v>11500000</v>
      </c>
      <c r="U110" s="1790">
        <v>88</v>
      </c>
      <c r="V110" s="1956" t="s">
        <v>466</v>
      </c>
      <c r="W110" s="2705">
        <v>4835</v>
      </c>
      <c r="X110" s="2705">
        <v>4665</v>
      </c>
      <c r="Y110" s="2705">
        <v>2214</v>
      </c>
      <c r="Z110" s="2705">
        <v>723</v>
      </c>
      <c r="AA110" s="2705">
        <v>5050</v>
      </c>
      <c r="AB110" s="2705">
        <v>1513</v>
      </c>
      <c r="AC110" s="2407">
        <v>0</v>
      </c>
      <c r="AD110" s="2407">
        <v>0</v>
      </c>
      <c r="AE110" s="2407">
        <v>0</v>
      </c>
      <c r="AF110" s="2407">
        <v>0</v>
      </c>
      <c r="AG110" s="2407">
        <v>0</v>
      </c>
      <c r="AH110" s="2407">
        <v>0</v>
      </c>
      <c r="AI110" s="2407">
        <v>0</v>
      </c>
      <c r="AJ110" s="2407">
        <v>0</v>
      </c>
      <c r="AK110" s="2407">
        <v>0</v>
      </c>
      <c r="AL110" s="2405">
        <f>W110+X110</f>
        <v>9500</v>
      </c>
      <c r="AM110" s="2703">
        <v>44061</v>
      </c>
      <c r="AN110" s="2703">
        <v>44195</v>
      </c>
      <c r="AO110" s="2688" t="s">
        <v>1486</v>
      </c>
    </row>
    <row r="111" spans="1:41" s="339" customFormat="1" ht="65.25" customHeight="1" x14ac:dyDescent="0.2">
      <c r="A111" s="1794"/>
      <c r="B111" s="1761"/>
      <c r="C111" s="1761"/>
      <c r="D111" s="1760"/>
      <c r="E111" s="1761"/>
      <c r="F111" s="1762"/>
      <c r="G111" s="2204"/>
      <c r="H111" s="2206"/>
      <c r="I111" s="2247"/>
      <c r="J111" s="2247"/>
      <c r="K111" s="2206"/>
      <c r="L111" s="2206"/>
      <c r="M111" s="2668"/>
      <c r="N111" s="2247"/>
      <c r="O111" s="2669"/>
      <c r="P111" s="2670"/>
      <c r="Q111" s="2247"/>
      <c r="R111" s="2247"/>
      <c r="S111" s="1838" t="s">
        <v>1615</v>
      </c>
      <c r="T111" s="1939">
        <v>6000000</v>
      </c>
      <c r="U111" s="1749">
        <v>88</v>
      </c>
      <c r="V111" s="1632" t="s">
        <v>466</v>
      </c>
      <c r="W111" s="2706"/>
      <c r="X111" s="2706"/>
      <c r="Y111" s="2706"/>
      <c r="Z111" s="2706"/>
      <c r="AA111" s="2706"/>
      <c r="AB111" s="2706"/>
      <c r="AC111" s="2413"/>
      <c r="AD111" s="2413"/>
      <c r="AE111" s="2413"/>
      <c r="AF111" s="2413"/>
      <c r="AG111" s="2413"/>
      <c r="AH111" s="2413"/>
      <c r="AI111" s="2413"/>
      <c r="AJ111" s="2413"/>
      <c r="AK111" s="2413"/>
      <c r="AL111" s="2406"/>
      <c r="AM111" s="2704"/>
      <c r="AN111" s="2704"/>
      <c r="AO111" s="2689"/>
    </row>
    <row r="112" spans="1:41" s="339" customFormat="1" ht="65.25" customHeight="1" x14ac:dyDescent="0.2">
      <c r="A112" s="1794"/>
      <c r="B112" s="1761"/>
      <c r="C112" s="1761"/>
      <c r="D112" s="1760"/>
      <c r="E112" s="1761"/>
      <c r="F112" s="1762"/>
      <c r="G112" s="2204"/>
      <c r="H112" s="2206"/>
      <c r="I112" s="2247"/>
      <c r="J112" s="2247"/>
      <c r="K112" s="2206"/>
      <c r="L112" s="2206"/>
      <c r="M112" s="2668"/>
      <c r="N112" s="2247"/>
      <c r="O112" s="2669"/>
      <c r="P112" s="2670"/>
      <c r="Q112" s="2247"/>
      <c r="R112" s="2247"/>
      <c r="S112" s="1838" t="s">
        <v>1616</v>
      </c>
      <c r="T112" s="1939">
        <v>40000000</v>
      </c>
      <c r="U112" s="1749">
        <v>88</v>
      </c>
      <c r="V112" s="1632" t="s">
        <v>466</v>
      </c>
      <c r="W112" s="2706"/>
      <c r="X112" s="2706"/>
      <c r="Y112" s="2706"/>
      <c r="Z112" s="2706"/>
      <c r="AA112" s="2706"/>
      <c r="AB112" s="2706"/>
      <c r="AC112" s="2413"/>
      <c r="AD112" s="2413"/>
      <c r="AE112" s="2413"/>
      <c r="AF112" s="2413"/>
      <c r="AG112" s="2413"/>
      <c r="AH112" s="2413"/>
      <c r="AI112" s="2413"/>
      <c r="AJ112" s="2413"/>
      <c r="AK112" s="2413"/>
      <c r="AL112" s="2406"/>
      <c r="AM112" s="2704"/>
      <c r="AN112" s="2704"/>
      <c r="AO112" s="2689"/>
    </row>
    <row r="113" spans="1:58" s="339" customFormat="1" ht="65.25" customHeight="1" x14ac:dyDescent="0.2">
      <c r="A113" s="1800"/>
      <c r="B113" s="1801"/>
      <c r="C113" s="1801"/>
      <c r="D113" s="1768"/>
      <c r="E113" s="1769"/>
      <c r="F113" s="1802"/>
      <c r="G113" s="2204"/>
      <c r="H113" s="2206"/>
      <c r="I113" s="2247"/>
      <c r="J113" s="2247"/>
      <c r="K113" s="2206"/>
      <c r="L113" s="2206"/>
      <c r="M113" s="2668"/>
      <c r="N113" s="2247"/>
      <c r="O113" s="2669"/>
      <c r="P113" s="2670"/>
      <c r="Q113" s="2247"/>
      <c r="R113" s="2247"/>
      <c r="S113" s="1838" t="s">
        <v>1617</v>
      </c>
      <c r="T113" s="1939">
        <v>17500000</v>
      </c>
      <c r="U113" s="1749">
        <v>88</v>
      </c>
      <c r="V113" s="1632" t="s">
        <v>466</v>
      </c>
      <c r="W113" s="2706"/>
      <c r="X113" s="2706"/>
      <c r="Y113" s="2706"/>
      <c r="Z113" s="2706"/>
      <c r="AA113" s="2706"/>
      <c r="AB113" s="2706"/>
      <c r="AC113" s="2413"/>
      <c r="AD113" s="2413"/>
      <c r="AE113" s="2413"/>
      <c r="AF113" s="2413"/>
      <c r="AG113" s="2413"/>
      <c r="AH113" s="2413"/>
      <c r="AI113" s="2413"/>
      <c r="AJ113" s="2413"/>
      <c r="AK113" s="2413"/>
      <c r="AL113" s="2407"/>
      <c r="AM113" s="2704"/>
      <c r="AN113" s="2704"/>
      <c r="AO113" s="2690"/>
    </row>
    <row r="114" spans="1:58" s="339" customFormat="1" ht="21.75" customHeight="1" x14ac:dyDescent="0.2">
      <c r="A114" s="285">
        <v>3</v>
      </c>
      <c r="B114" s="286" t="s">
        <v>471</v>
      </c>
      <c r="C114" s="287"/>
      <c r="D114" s="1073"/>
      <c r="E114" s="1803"/>
      <c r="F114" s="1803"/>
      <c r="G114" s="1076"/>
      <c r="H114" s="1076"/>
      <c r="I114" s="1073"/>
      <c r="J114" s="1073"/>
      <c r="K114" s="1803"/>
      <c r="L114" s="1074"/>
      <c r="M114" s="1076"/>
      <c r="N114" s="1073"/>
      <c r="O114" s="1077"/>
      <c r="P114" s="1935"/>
      <c r="Q114" s="1073"/>
      <c r="R114" s="1073"/>
      <c r="S114" s="1804"/>
      <c r="T114" s="1951"/>
      <c r="U114" s="1735"/>
      <c r="V114" s="1074"/>
      <c r="W114" s="1076"/>
      <c r="X114" s="1076"/>
      <c r="Y114" s="1076"/>
      <c r="Z114" s="1076"/>
      <c r="AA114" s="1076"/>
      <c r="AB114" s="1076"/>
      <c r="AC114" s="1076"/>
      <c r="AD114" s="1076"/>
      <c r="AE114" s="1076"/>
      <c r="AF114" s="1076"/>
      <c r="AG114" s="1076"/>
      <c r="AH114" s="1076"/>
      <c r="AI114" s="1076"/>
      <c r="AJ114" s="1076"/>
      <c r="AK114" s="1076"/>
      <c r="AL114" s="1076"/>
      <c r="AM114" s="1805"/>
      <c r="AN114" s="1805"/>
      <c r="AO114" s="1806"/>
      <c r="AP114" s="1427"/>
      <c r="AQ114" s="1427"/>
      <c r="AR114" s="1427"/>
      <c r="AS114" s="1427"/>
      <c r="AT114" s="1427"/>
      <c r="AU114" s="1427"/>
      <c r="AV114" s="1427"/>
      <c r="AW114" s="1427"/>
      <c r="AX114" s="1427"/>
      <c r="AY114" s="1427"/>
      <c r="AZ114" s="1427"/>
      <c r="BA114" s="1427"/>
      <c r="BB114" s="1427"/>
      <c r="BC114" s="1427"/>
      <c r="BD114" s="1427"/>
      <c r="BE114" s="1427"/>
      <c r="BF114" s="1427"/>
    </row>
    <row r="115" spans="1:58" s="1427" customFormat="1" ht="27" customHeight="1" x14ac:dyDescent="0.2">
      <c r="A115" s="1738"/>
      <c r="B115" s="1722"/>
      <c r="C115" s="1739"/>
      <c r="D115" s="1757">
        <v>23</v>
      </c>
      <c r="E115" s="295" t="s">
        <v>543</v>
      </c>
      <c r="F115" s="210"/>
      <c r="G115" s="209"/>
      <c r="H115" s="209"/>
      <c r="I115" s="210"/>
      <c r="J115" s="260"/>
      <c r="K115" s="1807"/>
      <c r="L115" s="965"/>
      <c r="M115" s="268"/>
      <c r="N115" s="260"/>
      <c r="O115" s="966"/>
      <c r="P115" s="1933"/>
      <c r="Q115" s="260"/>
      <c r="R115" s="1245"/>
      <c r="S115" s="1243"/>
      <c r="T115" s="1952"/>
      <c r="U115" s="1744"/>
      <c r="V115" s="1571"/>
      <c r="W115" s="268"/>
      <c r="X115" s="268"/>
      <c r="Y115" s="268"/>
      <c r="Z115" s="268"/>
      <c r="AA115" s="268"/>
      <c r="AB115" s="268"/>
      <c r="AC115" s="268"/>
      <c r="AD115" s="268"/>
      <c r="AE115" s="268"/>
      <c r="AF115" s="268"/>
      <c r="AG115" s="268"/>
      <c r="AH115" s="268"/>
      <c r="AI115" s="268"/>
      <c r="AJ115" s="268"/>
      <c r="AK115" s="268"/>
      <c r="AL115" s="268"/>
      <c r="AM115" s="1808"/>
      <c r="AN115" s="1808"/>
      <c r="AO115" s="1771"/>
    </row>
    <row r="116" spans="1:58" s="339" customFormat="1" ht="94.5" customHeight="1" x14ac:dyDescent="0.2">
      <c r="A116" s="1809"/>
      <c r="C116" s="1783"/>
      <c r="D116" s="2691"/>
      <c r="E116" s="2691"/>
      <c r="F116" s="2692"/>
      <c r="G116" s="1639">
        <v>3205002</v>
      </c>
      <c r="H116" s="1639" t="s">
        <v>1618</v>
      </c>
      <c r="I116" s="1661" t="s">
        <v>1619</v>
      </c>
      <c r="J116" s="1681" t="s">
        <v>1620</v>
      </c>
      <c r="K116" s="1639">
        <v>1</v>
      </c>
      <c r="L116" s="2416" t="s">
        <v>1621</v>
      </c>
      <c r="M116" s="2416" t="s">
        <v>1515</v>
      </c>
      <c r="N116" s="2693" t="s">
        <v>1516</v>
      </c>
      <c r="O116" s="2695">
        <f>(T116+T117)/(P27+P116+P119)</f>
        <v>6.6712797161780357E-2</v>
      </c>
      <c r="P116" s="2697">
        <f>SUM(T116:T117)</f>
        <v>37702666</v>
      </c>
      <c r="Q116" s="2418" t="s">
        <v>1517</v>
      </c>
      <c r="R116" s="2699" t="s">
        <v>1518</v>
      </c>
      <c r="S116" s="1817" t="s">
        <v>1622</v>
      </c>
      <c r="T116" s="1953">
        <f>12866668+20000000</f>
        <v>32866668</v>
      </c>
      <c r="U116" s="1810">
        <v>88</v>
      </c>
      <c r="V116" s="1691" t="s">
        <v>466</v>
      </c>
      <c r="W116" s="2701">
        <v>5089</v>
      </c>
      <c r="X116" s="2683">
        <v>4911</v>
      </c>
      <c r="Y116" s="2683">
        <v>2331</v>
      </c>
      <c r="Z116" s="2683">
        <v>761</v>
      </c>
      <c r="AA116" s="2683">
        <v>5316</v>
      </c>
      <c r="AB116" s="2683">
        <v>1592</v>
      </c>
      <c r="AC116" s="2683">
        <v>0</v>
      </c>
      <c r="AD116" s="2683">
        <v>0</v>
      </c>
      <c r="AE116" s="2683">
        <v>0</v>
      </c>
      <c r="AF116" s="2683">
        <v>0</v>
      </c>
      <c r="AG116" s="2683">
        <v>0</v>
      </c>
      <c r="AH116" s="2683">
        <v>0</v>
      </c>
      <c r="AI116" s="2683">
        <v>0</v>
      </c>
      <c r="AJ116" s="2683">
        <v>0</v>
      </c>
      <c r="AK116" s="2683">
        <v>0</v>
      </c>
      <c r="AL116" s="2683">
        <f>+W116+X116</f>
        <v>10000</v>
      </c>
      <c r="AM116" s="2604">
        <v>44076</v>
      </c>
      <c r="AN116" s="2604">
        <v>44195</v>
      </c>
      <c r="AO116" s="2285" t="s">
        <v>1486</v>
      </c>
    </row>
    <row r="117" spans="1:58" s="339" customFormat="1" ht="98.25" customHeight="1" x14ac:dyDescent="0.2">
      <c r="A117" s="1809"/>
      <c r="C117" s="1783"/>
      <c r="D117" s="2612"/>
      <c r="E117" s="2612"/>
      <c r="F117" s="2613"/>
      <c r="G117" s="1639">
        <v>3205021</v>
      </c>
      <c r="H117" s="1639" t="s">
        <v>1408</v>
      </c>
      <c r="I117" s="1661" t="s">
        <v>1409</v>
      </c>
      <c r="J117" s="1681" t="s">
        <v>1410</v>
      </c>
      <c r="K117" s="1639">
        <v>1</v>
      </c>
      <c r="L117" s="2682"/>
      <c r="M117" s="2682"/>
      <c r="N117" s="2694"/>
      <c r="O117" s="2696"/>
      <c r="P117" s="2698"/>
      <c r="Q117" s="2694"/>
      <c r="R117" s="2700"/>
      <c r="S117" s="1811" t="s">
        <v>1623</v>
      </c>
      <c r="T117" s="1946">
        <v>4835998</v>
      </c>
      <c r="U117" s="1810">
        <v>88</v>
      </c>
      <c r="V117" s="1691" t="s">
        <v>466</v>
      </c>
      <c r="W117" s="2702"/>
      <c r="X117" s="2674"/>
      <c r="Y117" s="2674"/>
      <c r="Z117" s="2674"/>
      <c r="AA117" s="2674"/>
      <c r="AB117" s="2674"/>
      <c r="AC117" s="2674"/>
      <c r="AD117" s="2674"/>
      <c r="AE117" s="2674"/>
      <c r="AF117" s="2674"/>
      <c r="AG117" s="2674"/>
      <c r="AH117" s="2674"/>
      <c r="AI117" s="2674"/>
      <c r="AJ117" s="2674"/>
      <c r="AK117" s="2674"/>
      <c r="AL117" s="2666"/>
      <c r="AM117" s="2605"/>
      <c r="AN117" s="2605"/>
      <c r="AO117" s="2286"/>
    </row>
    <row r="118" spans="1:58" s="1427" customFormat="1" ht="33.75" customHeight="1" x14ac:dyDescent="0.2">
      <c r="A118" s="1812"/>
      <c r="B118" s="1813"/>
      <c r="C118" s="1814"/>
      <c r="D118" s="649">
        <v>43</v>
      </c>
      <c r="E118" s="207" t="s">
        <v>1624</v>
      </c>
      <c r="F118" s="208"/>
      <c r="G118" s="835"/>
      <c r="H118" s="835"/>
      <c r="I118" s="208"/>
      <c r="J118" s="676"/>
      <c r="K118" s="220"/>
      <c r="L118" s="965"/>
      <c r="M118" s="268"/>
      <c r="N118" s="260"/>
      <c r="O118" s="1815"/>
      <c r="P118" s="1932"/>
      <c r="Q118" s="676"/>
      <c r="R118" s="1245"/>
      <c r="S118" s="1243"/>
      <c r="T118" s="1954"/>
      <c r="U118" s="1744"/>
      <c r="V118" s="1571"/>
      <c r="W118" s="268"/>
      <c r="X118" s="268"/>
      <c r="Y118" s="268"/>
      <c r="Z118" s="268"/>
      <c r="AA118" s="268"/>
      <c r="AB118" s="268"/>
      <c r="AC118" s="268"/>
      <c r="AD118" s="268"/>
      <c r="AE118" s="268"/>
      <c r="AF118" s="268"/>
      <c r="AG118" s="268"/>
      <c r="AH118" s="268"/>
      <c r="AI118" s="268"/>
      <c r="AJ118" s="268"/>
      <c r="AK118" s="268"/>
      <c r="AL118" s="211"/>
      <c r="AM118" s="1774"/>
      <c r="AN118" s="1774"/>
      <c r="AO118" s="1775"/>
    </row>
    <row r="119" spans="1:58" s="339" customFormat="1" ht="39" customHeight="1" x14ac:dyDescent="0.2">
      <c r="A119" s="1809"/>
      <c r="C119" s="1783"/>
      <c r="D119" s="1816"/>
      <c r="E119" s="1816"/>
      <c r="F119" s="1816"/>
      <c r="G119" s="2206">
        <v>4503002</v>
      </c>
      <c r="H119" s="2206" t="s">
        <v>1625</v>
      </c>
      <c r="I119" s="2247" t="s">
        <v>1626</v>
      </c>
      <c r="J119" s="2247" t="s">
        <v>938</v>
      </c>
      <c r="K119" s="2679">
        <v>1000</v>
      </c>
      <c r="L119" s="2680" t="s">
        <v>1627</v>
      </c>
      <c r="M119" s="2190" t="s">
        <v>1515</v>
      </c>
      <c r="N119" s="2633" t="s">
        <v>1628</v>
      </c>
      <c r="O119" s="2684">
        <f>(T119+T120+T121+T122+T123+T124+T125+T126+T127+T128+T129+T130+T131+T132+T133+T134+T135+T136+T137+T138+T139)/(P27+P116+P119)</f>
        <v>0.57609522046499284</v>
      </c>
      <c r="P119" s="2687">
        <f>SUM(T119:T139)</f>
        <v>325579598</v>
      </c>
      <c r="Q119" s="2623" t="s">
        <v>1517</v>
      </c>
      <c r="R119" s="2675" t="s">
        <v>1518</v>
      </c>
      <c r="S119" s="2664" t="s">
        <v>1629</v>
      </c>
      <c r="T119" s="1953">
        <f>4390667+20000000</f>
        <v>24390667</v>
      </c>
      <c r="U119" s="1810">
        <v>88</v>
      </c>
      <c r="V119" s="1666" t="s">
        <v>466</v>
      </c>
      <c r="W119" s="2671">
        <v>5089</v>
      </c>
      <c r="X119" s="2671">
        <v>4911</v>
      </c>
      <c r="Y119" s="2671">
        <v>2331</v>
      </c>
      <c r="Z119" s="2671">
        <v>761</v>
      </c>
      <c r="AA119" s="2671">
        <v>5316</v>
      </c>
      <c r="AB119" s="2671">
        <v>1592</v>
      </c>
      <c r="AC119" s="2671">
        <v>0</v>
      </c>
      <c r="AD119" s="2671">
        <v>0</v>
      </c>
      <c r="AE119" s="2671">
        <v>0</v>
      </c>
      <c r="AF119" s="2671">
        <v>0</v>
      </c>
      <c r="AG119" s="2671">
        <v>0</v>
      </c>
      <c r="AH119" s="2671">
        <v>0</v>
      </c>
      <c r="AI119" s="2671">
        <v>0</v>
      </c>
      <c r="AJ119" s="2671">
        <v>0</v>
      </c>
      <c r="AK119" s="2671">
        <v>0</v>
      </c>
      <c r="AL119" s="2671">
        <f>+W119+X119</f>
        <v>10000</v>
      </c>
      <c r="AM119" s="2604">
        <v>44057</v>
      </c>
      <c r="AN119" s="2604">
        <v>44195</v>
      </c>
      <c r="AO119" s="2190" t="s">
        <v>1486</v>
      </c>
    </row>
    <row r="120" spans="1:58" s="339" customFormat="1" ht="42" customHeight="1" x14ac:dyDescent="0.2">
      <c r="A120" s="1809"/>
      <c r="C120" s="1783"/>
      <c r="G120" s="2206"/>
      <c r="H120" s="2206"/>
      <c r="I120" s="2247"/>
      <c r="J120" s="2247"/>
      <c r="K120" s="2679"/>
      <c r="L120" s="2681"/>
      <c r="M120" s="2191"/>
      <c r="N120" s="2634"/>
      <c r="O120" s="2685"/>
      <c r="P120" s="2687"/>
      <c r="Q120" s="2247"/>
      <c r="R120" s="2676"/>
      <c r="S120" s="2640"/>
      <c r="T120" s="1946">
        <v>3733333</v>
      </c>
      <c r="U120" s="1810">
        <v>20</v>
      </c>
      <c r="V120" s="1666" t="s">
        <v>70</v>
      </c>
      <c r="W120" s="2671"/>
      <c r="X120" s="2671"/>
      <c r="Y120" s="2671"/>
      <c r="Z120" s="2671"/>
      <c r="AA120" s="2671"/>
      <c r="AB120" s="2671"/>
      <c r="AC120" s="2671"/>
      <c r="AD120" s="2671"/>
      <c r="AE120" s="2671"/>
      <c r="AF120" s="2671"/>
      <c r="AG120" s="2671"/>
      <c r="AH120" s="2671"/>
      <c r="AI120" s="2671"/>
      <c r="AJ120" s="2671"/>
      <c r="AK120" s="2671"/>
      <c r="AL120" s="2671"/>
      <c r="AM120" s="2605"/>
      <c r="AN120" s="2605"/>
      <c r="AO120" s="2191"/>
    </row>
    <row r="121" spans="1:58" s="339" customFormat="1" ht="54" customHeight="1" x14ac:dyDescent="0.2">
      <c r="A121" s="1809"/>
      <c r="C121" s="1783"/>
      <c r="G121" s="2206"/>
      <c r="H121" s="2206"/>
      <c r="I121" s="2247"/>
      <c r="J121" s="2247"/>
      <c r="K121" s="2679"/>
      <c r="L121" s="2681"/>
      <c r="M121" s="2191"/>
      <c r="N121" s="2634"/>
      <c r="O121" s="2685"/>
      <c r="P121" s="2687"/>
      <c r="Q121" s="2247"/>
      <c r="R121" s="2676"/>
      <c r="S121" s="1818" t="s">
        <v>1630</v>
      </c>
      <c r="T121" s="1939">
        <f>0+13000000</f>
        <v>13000000</v>
      </c>
      <c r="U121" s="1810">
        <v>88</v>
      </c>
      <c r="V121" s="1666" t="s">
        <v>466</v>
      </c>
      <c r="W121" s="2671"/>
      <c r="X121" s="2671"/>
      <c r="Y121" s="2671"/>
      <c r="Z121" s="2671"/>
      <c r="AA121" s="2671"/>
      <c r="AB121" s="2671"/>
      <c r="AC121" s="2671"/>
      <c r="AD121" s="2671"/>
      <c r="AE121" s="2671"/>
      <c r="AF121" s="2671"/>
      <c r="AG121" s="2671"/>
      <c r="AH121" s="2671"/>
      <c r="AI121" s="2671"/>
      <c r="AJ121" s="2671"/>
      <c r="AK121" s="2671"/>
      <c r="AL121" s="2671"/>
      <c r="AM121" s="2605"/>
      <c r="AN121" s="2605"/>
      <c r="AO121" s="2191"/>
    </row>
    <row r="122" spans="1:58" s="339" customFormat="1" ht="50.25" customHeight="1" x14ac:dyDescent="0.2">
      <c r="A122" s="1809"/>
      <c r="C122" s="1783"/>
      <c r="G122" s="2206"/>
      <c r="H122" s="2206"/>
      <c r="I122" s="2247"/>
      <c r="J122" s="2247"/>
      <c r="K122" s="2679"/>
      <c r="L122" s="2681"/>
      <c r="M122" s="2191"/>
      <c r="N122" s="2634"/>
      <c r="O122" s="2685"/>
      <c r="P122" s="2687"/>
      <c r="Q122" s="2247"/>
      <c r="R122" s="2676"/>
      <c r="S122" s="1818" t="s">
        <v>1631</v>
      </c>
      <c r="T122" s="1939">
        <v>0</v>
      </c>
      <c r="U122" s="1810"/>
      <c r="V122" s="1666"/>
      <c r="W122" s="2671"/>
      <c r="X122" s="2671"/>
      <c r="Y122" s="2671"/>
      <c r="Z122" s="2671"/>
      <c r="AA122" s="2671"/>
      <c r="AB122" s="2671"/>
      <c r="AC122" s="2671"/>
      <c r="AD122" s="2671"/>
      <c r="AE122" s="2671"/>
      <c r="AF122" s="2671"/>
      <c r="AG122" s="2671"/>
      <c r="AH122" s="2671"/>
      <c r="AI122" s="2671"/>
      <c r="AJ122" s="2671"/>
      <c r="AK122" s="2671"/>
      <c r="AL122" s="2671"/>
      <c r="AM122" s="2605"/>
      <c r="AN122" s="2605"/>
      <c r="AO122" s="2191"/>
    </row>
    <row r="123" spans="1:58" s="339" customFormat="1" ht="54.75" customHeight="1" x14ac:dyDescent="0.2">
      <c r="A123" s="1809"/>
      <c r="C123" s="1783"/>
      <c r="G123" s="2206"/>
      <c r="H123" s="2206"/>
      <c r="I123" s="2247"/>
      <c r="J123" s="2247"/>
      <c r="K123" s="2679"/>
      <c r="L123" s="2681"/>
      <c r="M123" s="2191"/>
      <c r="N123" s="2634"/>
      <c r="O123" s="2685"/>
      <c r="P123" s="2687"/>
      <c r="Q123" s="2247"/>
      <c r="R123" s="2676"/>
      <c r="S123" s="1818" t="s">
        <v>1632</v>
      </c>
      <c r="T123" s="1939">
        <v>0</v>
      </c>
      <c r="U123" s="1810"/>
      <c r="V123" s="1666"/>
      <c r="W123" s="2671"/>
      <c r="X123" s="2671"/>
      <c r="Y123" s="2671"/>
      <c r="Z123" s="2671"/>
      <c r="AA123" s="2671"/>
      <c r="AB123" s="2671"/>
      <c r="AC123" s="2671"/>
      <c r="AD123" s="2671"/>
      <c r="AE123" s="2671"/>
      <c r="AF123" s="2671"/>
      <c r="AG123" s="2671"/>
      <c r="AH123" s="2671"/>
      <c r="AI123" s="2671"/>
      <c r="AJ123" s="2671"/>
      <c r="AK123" s="2671"/>
      <c r="AL123" s="2671"/>
      <c r="AM123" s="2606"/>
      <c r="AN123" s="2606"/>
      <c r="AO123" s="2257"/>
    </row>
    <row r="124" spans="1:58" s="339" customFormat="1" ht="48" customHeight="1" x14ac:dyDescent="0.2">
      <c r="A124" s="1809"/>
      <c r="C124" s="1783"/>
      <c r="F124" s="1783"/>
      <c r="G124" s="2191">
        <v>4503003</v>
      </c>
      <c r="H124" s="2191" t="s">
        <v>1633</v>
      </c>
      <c r="I124" s="2286" t="s">
        <v>1634</v>
      </c>
      <c r="J124" s="2286" t="s">
        <v>1635</v>
      </c>
      <c r="K124" s="2191">
        <v>12</v>
      </c>
      <c r="L124" s="2417"/>
      <c r="M124" s="2191"/>
      <c r="N124" s="2634"/>
      <c r="O124" s="2685"/>
      <c r="P124" s="2687"/>
      <c r="Q124" s="2247"/>
      <c r="R124" s="2676"/>
      <c r="S124" s="1821" t="s">
        <v>1636</v>
      </c>
      <c r="T124" s="1939">
        <v>10692402</v>
      </c>
      <c r="U124" s="1753">
        <v>20</v>
      </c>
      <c r="V124" s="1691" t="s">
        <v>70</v>
      </c>
      <c r="W124" s="2677">
        <v>5089</v>
      </c>
      <c r="X124" s="2666">
        <v>4911</v>
      </c>
      <c r="Y124" s="2666">
        <v>2331</v>
      </c>
      <c r="Z124" s="2666">
        <v>761</v>
      </c>
      <c r="AA124" s="2671">
        <v>5316</v>
      </c>
      <c r="AB124" s="2671">
        <v>1592</v>
      </c>
      <c r="AC124" s="2671">
        <v>0</v>
      </c>
      <c r="AD124" s="2671">
        <v>0</v>
      </c>
      <c r="AE124" s="2671">
        <v>0</v>
      </c>
      <c r="AF124" s="2671">
        <v>0</v>
      </c>
      <c r="AG124" s="2671">
        <v>0</v>
      </c>
      <c r="AH124" s="2671">
        <v>0</v>
      </c>
      <c r="AI124" s="2671">
        <v>0</v>
      </c>
      <c r="AJ124" s="2671">
        <v>0</v>
      </c>
      <c r="AK124" s="2674">
        <v>0</v>
      </c>
      <c r="AL124" s="2666">
        <f>+W124+X124</f>
        <v>10000</v>
      </c>
      <c r="AM124" s="2604">
        <v>44057</v>
      </c>
      <c r="AN124" s="2604">
        <v>44195</v>
      </c>
      <c r="AO124" s="2190" t="s">
        <v>1486</v>
      </c>
      <c r="AP124" s="1819"/>
    </row>
    <row r="125" spans="1:58" s="339" customFormat="1" ht="40.5" customHeight="1" x14ac:dyDescent="0.2">
      <c r="A125" s="1809"/>
      <c r="C125" s="1783"/>
      <c r="F125" s="1783"/>
      <c r="G125" s="2191"/>
      <c r="H125" s="2191"/>
      <c r="I125" s="2286"/>
      <c r="J125" s="2286"/>
      <c r="K125" s="2191"/>
      <c r="L125" s="2417"/>
      <c r="M125" s="2191"/>
      <c r="N125" s="2634"/>
      <c r="O125" s="2685"/>
      <c r="P125" s="2687"/>
      <c r="Q125" s="2247"/>
      <c r="R125" s="2676"/>
      <c r="S125" s="1718" t="s">
        <v>1623</v>
      </c>
      <c r="T125" s="1939">
        <f>5235999</f>
        <v>5235999</v>
      </c>
      <c r="U125" s="1753">
        <v>20</v>
      </c>
      <c r="V125" s="1691" t="s">
        <v>70</v>
      </c>
      <c r="W125" s="2677"/>
      <c r="X125" s="2666"/>
      <c r="Y125" s="2666"/>
      <c r="Z125" s="2666"/>
      <c r="AA125" s="2671"/>
      <c r="AB125" s="2671"/>
      <c r="AC125" s="2671"/>
      <c r="AD125" s="2671"/>
      <c r="AE125" s="2671"/>
      <c r="AF125" s="2671"/>
      <c r="AG125" s="2671"/>
      <c r="AH125" s="2671"/>
      <c r="AI125" s="2671"/>
      <c r="AJ125" s="2671"/>
      <c r="AK125" s="2671"/>
      <c r="AL125" s="2666"/>
      <c r="AM125" s="2605"/>
      <c r="AN125" s="2605"/>
      <c r="AO125" s="2191"/>
      <c r="AP125" s="1819"/>
    </row>
    <row r="126" spans="1:58" s="339" customFormat="1" ht="48" customHeight="1" x14ac:dyDescent="0.2">
      <c r="A126" s="1809"/>
      <c r="C126" s="1783"/>
      <c r="F126" s="1783"/>
      <c r="G126" s="2191"/>
      <c r="H126" s="2191"/>
      <c r="I126" s="2286"/>
      <c r="J126" s="2286"/>
      <c r="K126" s="2191"/>
      <c r="L126" s="2417"/>
      <c r="M126" s="2191"/>
      <c r="N126" s="2634"/>
      <c r="O126" s="2685"/>
      <c r="P126" s="2687"/>
      <c r="Q126" s="2247"/>
      <c r="R126" s="2676"/>
      <c r="S126" s="1820" t="s">
        <v>1622</v>
      </c>
      <c r="T126" s="1939">
        <f>7466667</f>
        <v>7466667</v>
      </c>
      <c r="U126" s="1753">
        <v>20</v>
      </c>
      <c r="V126" s="1691" t="s">
        <v>70</v>
      </c>
      <c r="W126" s="2677"/>
      <c r="X126" s="2666"/>
      <c r="Y126" s="2666"/>
      <c r="Z126" s="2666"/>
      <c r="AA126" s="2671"/>
      <c r="AB126" s="2671"/>
      <c r="AC126" s="2671"/>
      <c r="AD126" s="2671"/>
      <c r="AE126" s="2671"/>
      <c r="AF126" s="2671"/>
      <c r="AG126" s="2671"/>
      <c r="AH126" s="2671"/>
      <c r="AI126" s="2671"/>
      <c r="AJ126" s="2671"/>
      <c r="AK126" s="2671"/>
      <c r="AL126" s="2666"/>
      <c r="AM126" s="2605"/>
      <c r="AN126" s="2605"/>
      <c r="AO126" s="2191"/>
      <c r="AP126" s="1819"/>
    </row>
    <row r="127" spans="1:58" s="339" customFormat="1" ht="57.75" customHeight="1" x14ac:dyDescent="0.2">
      <c r="A127" s="1809"/>
      <c r="C127" s="1783"/>
      <c r="F127" s="1783"/>
      <c r="G127" s="2191"/>
      <c r="H127" s="2191"/>
      <c r="I127" s="2286"/>
      <c r="J127" s="2286"/>
      <c r="K127" s="2191"/>
      <c r="L127" s="2417"/>
      <c r="M127" s="2191"/>
      <c r="N127" s="2634"/>
      <c r="O127" s="2685"/>
      <c r="P127" s="2687"/>
      <c r="Q127" s="2247"/>
      <c r="R127" s="2676"/>
      <c r="S127" s="1820" t="s">
        <v>1637</v>
      </c>
      <c r="T127" s="1939">
        <f>0+49000000</f>
        <v>49000000</v>
      </c>
      <c r="U127" s="1753">
        <v>88</v>
      </c>
      <c r="V127" s="1691" t="s">
        <v>466</v>
      </c>
      <c r="W127" s="2677"/>
      <c r="X127" s="2666"/>
      <c r="Y127" s="2666"/>
      <c r="Z127" s="2666"/>
      <c r="AA127" s="2671"/>
      <c r="AB127" s="2671"/>
      <c r="AC127" s="2671"/>
      <c r="AD127" s="2671"/>
      <c r="AE127" s="2671"/>
      <c r="AF127" s="2671"/>
      <c r="AG127" s="2671"/>
      <c r="AH127" s="2671"/>
      <c r="AI127" s="2671"/>
      <c r="AJ127" s="2671"/>
      <c r="AK127" s="2671"/>
      <c r="AL127" s="2666"/>
      <c r="AM127" s="2605"/>
      <c r="AN127" s="2605"/>
      <c r="AO127" s="2191"/>
      <c r="AP127" s="1819"/>
    </row>
    <row r="128" spans="1:58" s="339" customFormat="1" ht="48" customHeight="1" x14ac:dyDescent="0.2">
      <c r="A128" s="1809"/>
      <c r="C128" s="1783"/>
      <c r="F128" s="1783"/>
      <c r="G128" s="2191"/>
      <c r="H128" s="2191"/>
      <c r="I128" s="2286"/>
      <c r="J128" s="2286"/>
      <c r="K128" s="2191"/>
      <c r="L128" s="2417"/>
      <c r="M128" s="2191"/>
      <c r="N128" s="2634"/>
      <c r="O128" s="2685"/>
      <c r="P128" s="2687"/>
      <c r="Q128" s="2247"/>
      <c r="R128" s="2676"/>
      <c r="S128" s="1820" t="s">
        <v>1638</v>
      </c>
      <c r="T128" s="1939">
        <v>13300000</v>
      </c>
      <c r="U128" s="1753">
        <v>88</v>
      </c>
      <c r="V128" s="1691" t="s">
        <v>466</v>
      </c>
      <c r="W128" s="2677"/>
      <c r="X128" s="2666"/>
      <c r="Y128" s="2666"/>
      <c r="Z128" s="2666"/>
      <c r="AA128" s="2671"/>
      <c r="AB128" s="2671"/>
      <c r="AC128" s="2671"/>
      <c r="AD128" s="2671"/>
      <c r="AE128" s="2671"/>
      <c r="AF128" s="2671"/>
      <c r="AG128" s="2671"/>
      <c r="AH128" s="2671"/>
      <c r="AI128" s="2671"/>
      <c r="AJ128" s="2671"/>
      <c r="AK128" s="2671"/>
      <c r="AL128" s="2666"/>
      <c r="AM128" s="2605"/>
      <c r="AN128" s="2605"/>
      <c r="AO128" s="2191"/>
      <c r="AP128" s="1819"/>
    </row>
    <row r="129" spans="1:58" s="339" customFormat="1" ht="51" customHeight="1" x14ac:dyDescent="0.2">
      <c r="A129" s="1809"/>
      <c r="C129" s="1783"/>
      <c r="F129" s="1783"/>
      <c r="G129" s="2191"/>
      <c r="H129" s="2191"/>
      <c r="I129" s="2286"/>
      <c r="J129" s="2286"/>
      <c r="K129" s="2191"/>
      <c r="L129" s="2417"/>
      <c r="M129" s="2191"/>
      <c r="N129" s="2634"/>
      <c r="O129" s="2685"/>
      <c r="P129" s="2687"/>
      <c r="Q129" s="2247"/>
      <c r="R129" s="2676"/>
      <c r="S129" s="1820" t="s">
        <v>1639</v>
      </c>
      <c r="T129" s="1939">
        <f>82264+2000000</f>
        <v>2082264</v>
      </c>
      <c r="U129" s="1753">
        <v>88</v>
      </c>
      <c r="V129" s="1691" t="s">
        <v>466</v>
      </c>
      <c r="W129" s="2677"/>
      <c r="X129" s="2666"/>
      <c r="Y129" s="2666"/>
      <c r="Z129" s="2666"/>
      <c r="AA129" s="2671"/>
      <c r="AB129" s="2671"/>
      <c r="AC129" s="2671"/>
      <c r="AD129" s="2671"/>
      <c r="AE129" s="2671"/>
      <c r="AF129" s="2671"/>
      <c r="AG129" s="2671"/>
      <c r="AH129" s="2671"/>
      <c r="AI129" s="2671"/>
      <c r="AJ129" s="2671"/>
      <c r="AK129" s="2671"/>
      <c r="AL129" s="2666"/>
      <c r="AM129" s="2605"/>
      <c r="AN129" s="2605"/>
      <c r="AO129" s="2191"/>
      <c r="AP129" s="1819"/>
    </row>
    <row r="130" spans="1:58" s="339" customFormat="1" ht="43.5" customHeight="1" x14ac:dyDescent="0.2">
      <c r="A130" s="1809"/>
      <c r="C130" s="1783"/>
      <c r="F130" s="1783"/>
      <c r="G130" s="2191"/>
      <c r="H130" s="2191"/>
      <c r="I130" s="2286"/>
      <c r="J130" s="2286"/>
      <c r="K130" s="2191"/>
      <c r="L130" s="2417"/>
      <c r="M130" s="2191"/>
      <c r="N130" s="2634"/>
      <c r="O130" s="2685"/>
      <c r="P130" s="2687"/>
      <c r="Q130" s="2247"/>
      <c r="R130" s="2676"/>
      <c r="S130" s="2672" t="s">
        <v>1640</v>
      </c>
      <c r="T130" s="1939">
        <v>12792000</v>
      </c>
      <c r="U130" s="1753">
        <v>20</v>
      </c>
      <c r="V130" s="1691" t="s">
        <v>70</v>
      </c>
      <c r="W130" s="2677"/>
      <c r="X130" s="2666"/>
      <c r="Y130" s="2666"/>
      <c r="Z130" s="2666"/>
      <c r="AA130" s="2671"/>
      <c r="AB130" s="2671"/>
      <c r="AC130" s="2671"/>
      <c r="AD130" s="2671"/>
      <c r="AE130" s="2671"/>
      <c r="AF130" s="2671"/>
      <c r="AG130" s="2671"/>
      <c r="AH130" s="2671"/>
      <c r="AI130" s="2671"/>
      <c r="AJ130" s="2671"/>
      <c r="AK130" s="2671"/>
      <c r="AL130" s="2666"/>
      <c r="AM130" s="2605"/>
      <c r="AN130" s="2605"/>
      <c r="AO130" s="2191"/>
      <c r="AP130" s="1819"/>
    </row>
    <row r="131" spans="1:58" s="339" customFormat="1" ht="43.5" customHeight="1" x14ac:dyDescent="0.2">
      <c r="A131" s="1809"/>
      <c r="C131" s="1783"/>
      <c r="F131" s="1783"/>
      <c r="G131" s="2191"/>
      <c r="H131" s="2191"/>
      <c r="I131" s="2286"/>
      <c r="J131" s="2286"/>
      <c r="K131" s="2191"/>
      <c r="L131" s="2417"/>
      <c r="M131" s="2191"/>
      <c r="N131" s="2634"/>
      <c r="O131" s="2685"/>
      <c r="P131" s="2687"/>
      <c r="Q131" s="2247"/>
      <c r="R131" s="2676"/>
      <c r="S131" s="2673"/>
      <c r="T131" s="1939">
        <f>0+16800000</f>
        <v>16800000</v>
      </c>
      <c r="U131" s="1753">
        <v>88</v>
      </c>
      <c r="V131" s="1691" t="s">
        <v>466</v>
      </c>
      <c r="W131" s="2677"/>
      <c r="X131" s="2666"/>
      <c r="Y131" s="2666"/>
      <c r="Z131" s="2666"/>
      <c r="AA131" s="2671"/>
      <c r="AB131" s="2671"/>
      <c r="AC131" s="2671"/>
      <c r="AD131" s="2671"/>
      <c r="AE131" s="2671"/>
      <c r="AF131" s="2671"/>
      <c r="AG131" s="2671"/>
      <c r="AH131" s="2671"/>
      <c r="AI131" s="2671"/>
      <c r="AJ131" s="2671"/>
      <c r="AK131" s="2671"/>
      <c r="AL131" s="2666"/>
      <c r="AM131" s="2605"/>
      <c r="AN131" s="2605"/>
      <c r="AO131" s="2191"/>
      <c r="AP131" s="1819"/>
    </row>
    <row r="132" spans="1:58" s="339" customFormat="1" ht="43.5" customHeight="1" x14ac:dyDescent="0.2">
      <c r="A132" s="1809"/>
      <c r="C132" s="1783"/>
      <c r="F132" s="1783"/>
      <c r="G132" s="2191"/>
      <c r="H132" s="2191"/>
      <c r="I132" s="2286"/>
      <c r="J132" s="2286"/>
      <c r="K132" s="2191"/>
      <c r="L132" s="2417"/>
      <c r="M132" s="2191"/>
      <c r="N132" s="2634"/>
      <c r="O132" s="2685"/>
      <c r="P132" s="2687"/>
      <c r="Q132" s="2247"/>
      <c r="R132" s="2676"/>
      <c r="S132" s="2672" t="s">
        <v>1641</v>
      </c>
      <c r="T132" s="1939">
        <v>10833333</v>
      </c>
      <c r="U132" s="1753">
        <v>20</v>
      </c>
      <c r="V132" s="1691" t="s">
        <v>70</v>
      </c>
      <c r="W132" s="2677"/>
      <c r="X132" s="2666"/>
      <c r="Y132" s="2666"/>
      <c r="Z132" s="2666"/>
      <c r="AA132" s="2671"/>
      <c r="AB132" s="2671"/>
      <c r="AC132" s="2671"/>
      <c r="AD132" s="2671"/>
      <c r="AE132" s="2671"/>
      <c r="AF132" s="2671"/>
      <c r="AG132" s="2671"/>
      <c r="AH132" s="2671"/>
      <c r="AI132" s="2671"/>
      <c r="AJ132" s="2671"/>
      <c r="AK132" s="2671"/>
      <c r="AL132" s="2666"/>
      <c r="AM132" s="2605"/>
      <c r="AN132" s="2605"/>
      <c r="AO132" s="2191"/>
      <c r="AP132" s="1822"/>
      <c r="AQ132" s="1823"/>
      <c r="AR132" s="1824"/>
    </row>
    <row r="133" spans="1:58" s="339" customFormat="1" ht="43.5" customHeight="1" x14ac:dyDescent="0.2">
      <c r="A133" s="1809"/>
      <c r="C133" s="1783"/>
      <c r="F133" s="1783"/>
      <c r="G133" s="2191"/>
      <c r="H133" s="2191"/>
      <c r="I133" s="2286"/>
      <c r="J133" s="2286"/>
      <c r="K133" s="2191"/>
      <c r="L133" s="2417"/>
      <c r="M133" s="2191"/>
      <c r="N133" s="2634"/>
      <c r="O133" s="2685"/>
      <c r="P133" s="2687"/>
      <c r="Q133" s="2247"/>
      <c r="R133" s="2676"/>
      <c r="S133" s="2673"/>
      <c r="T133" s="1939">
        <v>15126666</v>
      </c>
      <c r="U133" s="1753">
        <v>88</v>
      </c>
      <c r="V133" s="1691" t="s">
        <v>466</v>
      </c>
      <c r="W133" s="2677"/>
      <c r="X133" s="2666"/>
      <c r="Y133" s="2666"/>
      <c r="Z133" s="2666"/>
      <c r="AA133" s="2671"/>
      <c r="AB133" s="2671"/>
      <c r="AC133" s="2671"/>
      <c r="AD133" s="2671"/>
      <c r="AE133" s="2671"/>
      <c r="AF133" s="2671"/>
      <c r="AG133" s="2671"/>
      <c r="AH133" s="2671"/>
      <c r="AI133" s="2671"/>
      <c r="AJ133" s="2671"/>
      <c r="AK133" s="2671"/>
      <c r="AL133" s="2666"/>
      <c r="AM133" s="2605"/>
      <c r="AN133" s="2605"/>
      <c r="AO133" s="2191"/>
      <c r="AP133" s="1822"/>
      <c r="AQ133" s="1825"/>
    </row>
    <row r="134" spans="1:58" s="339" customFormat="1" ht="46.5" customHeight="1" x14ac:dyDescent="0.2">
      <c r="A134" s="1809"/>
      <c r="C134" s="1783"/>
      <c r="F134" s="1783"/>
      <c r="G134" s="2191"/>
      <c r="H134" s="2191"/>
      <c r="I134" s="2286"/>
      <c r="J134" s="2286"/>
      <c r="K134" s="2191"/>
      <c r="L134" s="2417"/>
      <c r="M134" s="2191"/>
      <c r="N134" s="2634"/>
      <c r="O134" s="2685"/>
      <c r="P134" s="2687"/>
      <c r="Q134" s="2247"/>
      <c r="R134" s="2676"/>
      <c r="S134" s="2672" t="s">
        <v>1642</v>
      </c>
      <c r="T134" s="1939">
        <v>37733335</v>
      </c>
      <c r="U134" s="1753">
        <v>20</v>
      </c>
      <c r="V134" s="1691" t="s">
        <v>70</v>
      </c>
      <c r="W134" s="2677"/>
      <c r="X134" s="2666"/>
      <c r="Y134" s="2666"/>
      <c r="Z134" s="2666"/>
      <c r="AA134" s="2671"/>
      <c r="AB134" s="2671"/>
      <c r="AC134" s="2671"/>
      <c r="AD134" s="2671"/>
      <c r="AE134" s="2671"/>
      <c r="AF134" s="2671"/>
      <c r="AG134" s="2671"/>
      <c r="AH134" s="2671"/>
      <c r="AI134" s="2671"/>
      <c r="AJ134" s="2671"/>
      <c r="AK134" s="2671"/>
      <c r="AL134" s="2666"/>
      <c r="AM134" s="2605"/>
      <c r="AN134" s="2605"/>
      <c r="AO134" s="2191"/>
      <c r="AP134" s="1822"/>
      <c r="AQ134" s="1822"/>
      <c r="AR134" s="1823"/>
      <c r="AS134" s="1823"/>
    </row>
    <row r="135" spans="1:58" s="339" customFormat="1" ht="43.5" customHeight="1" x14ac:dyDescent="0.2">
      <c r="A135" s="1809"/>
      <c r="C135" s="1783"/>
      <c r="F135" s="1783"/>
      <c r="G135" s="2191"/>
      <c r="H135" s="2191"/>
      <c r="I135" s="2286"/>
      <c r="J135" s="2286"/>
      <c r="K135" s="2191"/>
      <c r="L135" s="2417"/>
      <c r="M135" s="2191"/>
      <c r="N135" s="2634"/>
      <c r="O135" s="2685"/>
      <c r="P135" s="2687"/>
      <c r="Q135" s="2247"/>
      <c r="R135" s="2676"/>
      <c r="S135" s="2673"/>
      <c r="T135" s="1939">
        <f>15040000+1979598-2619598</f>
        <v>14400000</v>
      </c>
      <c r="U135" s="1753">
        <v>88</v>
      </c>
      <c r="V135" s="1691" t="s">
        <v>466</v>
      </c>
      <c r="W135" s="2677"/>
      <c r="X135" s="2666"/>
      <c r="Y135" s="2666"/>
      <c r="Z135" s="2666"/>
      <c r="AA135" s="2671"/>
      <c r="AB135" s="2671"/>
      <c r="AC135" s="2671"/>
      <c r="AD135" s="2671"/>
      <c r="AE135" s="2671"/>
      <c r="AF135" s="2671"/>
      <c r="AG135" s="2671"/>
      <c r="AH135" s="2671"/>
      <c r="AI135" s="2671"/>
      <c r="AJ135" s="2671"/>
      <c r="AK135" s="2671"/>
      <c r="AL135" s="2666"/>
      <c r="AM135" s="2605"/>
      <c r="AN135" s="2605"/>
      <c r="AO135" s="2191"/>
      <c r="AP135" s="1822"/>
      <c r="AQ135" s="1822"/>
      <c r="AR135" s="1823"/>
      <c r="AS135" s="1823"/>
    </row>
    <row r="136" spans="1:58" s="339" customFormat="1" ht="42.75" customHeight="1" x14ac:dyDescent="0.2">
      <c r="A136" s="1809"/>
      <c r="C136" s="1783"/>
      <c r="F136" s="1783"/>
      <c r="G136" s="2191"/>
      <c r="H136" s="2191"/>
      <c r="I136" s="2286"/>
      <c r="J136" s="2286"/>
      <c r="K136" s="2191"/>
      <c r="L136" s="2417"/>
      <c r="M136" s="2191"/>
      <c r="N136" s="2634"/>
      <c r="O136" s="2685"/>
      <c r="P136" s="2687"/>
      <c r="Q136" s="2247"/>
      <c r="R136" s="2676"/>
      <c r="S136" s="1820" t="s">
        <v>1643</v>
      </c>
      <c r="T136" s="1939">
        <f>0+27200000</f>
        <v>27200000</v>
      </c>
      <c r="U136" s="1753">
        <v>88</v>
      </c>
      <c r="V136" s="1691" t="s">
        <v>466</v>
      </c>
      <c r="W136" s="2677"/>
      <c r="X136" s="2666"/>
      <c r="Y136" s="2666"/>
      <c r="Z136" s="2666"/>
      <c r="AA136" s="2671"/>
      <c r="AB136" s="2671"/>
      <c r="AC136" s="2671"/>
      <c r="AD136" s="2671"/>
      <c r="AE136" s="2671"/>
      <c r="AF136" s="2671"/>
      <c r="AG136" s="2671"/>
      <c r="AH136" s="2671"/>
      <c r="AI136" s="2671"/>
      <c r="AJ136" s="2671"/>
      <c r="AK136" s="2671"/>
      <c r="AL136" s="2666"/>
      <c r="AM136" s="2605"/>
      <c r="AN136" s="2605"/>
      <c r="AO136" s="2191"/>
      <c r="AP136" s="1822"/>
      <c r="AQ136" s="1822"/>
      <c r="AR136" s="1823"/>
      <c r="AS136" s="1823"/>
    </row>
    <row r="137" spans="1:58" s="339" customFormat="1" ht="33.75" customHeight="1" x14ac:dyDescent="0.2">
      <c r="A137" s="1809"/>
      <c r="C137" s="1783"/>
      <c r="F137" s="1783"/>
      <c r="G137" s="2191"/>
      <c r="H137" s="2191"/>
      <c r="I137" s="2286"/>
      <c r="J137" s="2286"/>
      <c r="K137" s="2191"/>
      <c r="L137" s="2417"/>
      <c r="M137" s="2191"/>
      <c r="N137" s="2634"/>
      <c r="O137" s="2685"/>
      <c r="P137" s="2687"/>
      <c r="Q137" s="2247"/>
      <c r="R137" s="2676"/>
      <c r="S137" s="1820" t="s">
        <v>1586</v>
      </c>
      <c r="T137" s="1939">
        <f>0+10000000</f>
        <v>10000000</v>
      </c>
      <c r="U137" s="1753">
        <v>88</v>
      </c>
      <c r="V137" s="1691" t="s">
        <v>466</v>
      </c>
      <c r="W137" s="2677"/>
      <c r="X137" s="2666"/>
      <c r="Y137" s="2666"/>
      <c r="Z137" s="2666"/>
      <c r="AA137" s="2671"/>
      <c r="AB137" s="2671"/>
      <c r="AC137" s="2671"/>
      <c r="AD137" s="2671"/>
      <c r="AE137" s="2671"/>
      <c r="AF137" s="2671"/>
      <c r="AG137" s="2671"/>
      <c r="AH137" s="2671"/>
      <c r="AI137" s="2671"/>
      <c r="AJ137" s="2671"/>
      <c r="AK137" s="2671"/>
      <c r="AL137" s="2666"/>
      <c r="AM137" s="2605"/>
      <c r="AN137" s="2605"/>
      <c r="AO137" s="2191"/>
      <c r="AP137" s="1822"/>
      <c r="AQ137" s="1823"/>
      <c r="AR137" s="1823"/>
      <c r="AS137" s="1823"/>
    </row>
    <row r="138" spans="1:58" s="339" customFormat="1" ht="51" customHeight="1" x14ac:dyDescent="0.2">
      <c r="A138" s="1809"/>
      <c r="C138" s="1783"/>
      <c r="F138" s="1783"/>
      <c r="G138" s="2191"/>
      <c r="H138" s="2191"/>
      <c r="I138" s="2286"/>
      <c r="J138" s="2286"/>
      <c r="K138" s="2191"/>
      <c r="L138" s="2417"/>
      <c r="M138" s="2191"/>
      <c r="N138" s="2634"/>
      <c r="O138" s="2685"/>
      <c r="P138" s="2687"/>
      <c r="Q138" s="2247"/>
      <c r="R138" s="2676"/>
      <c r="S138" s="1820" t="s">
        <v>1644</v>
      </c>
      <c r="T138" s="1939">
        <f>0+24000000+17792932</f>
        <v>41792932</v>
      </c>
      <c r="U138" s="1753">
        <v>88</v>
      </c>
      <c r="V138" s="1691" t="s">
        <v>466</v>
      </c>
      <c r="W138" s="2677"/>
      <c r="X138" s="2666"/>
      <c r="Y138" s="2666"/>
      <c r="Z138" s="2666"/>
      <c r="AA138" s="2671"/>
      <c r="AB138" s="2671"/>
      <c r="AC138" s="2671"/>
      <c r="AD138" s="2671"/>
      <c r="AE138" s="2671"/>
      <c r="AF138" s="2671"/>
      <c r="AG138" s="2671"/>
      <c r="AH138" s="2671"/>
      <c r="AI138" s="2671"/>
      <c r="AJ138" s="2671"/>
      <c r="AK138" s="2671"/>
      <c r="AL138" s="2666"/>
      <c r="AM138" s="2605"/>
      <c r="AN138" s="2605"/>
      <c r="AO138" s="2191"/>
      <c r="AP138" s="1819"/>
      <c r="AQ138" s="1826"/>
      <c r="AR138" s="1824"/>
    </row>
    <row r="139" spans="1:58" s="339" customFormat="1" ht="62.25" customHeight="1" x14ac:dyDescent="0.2">
      <c r="A139" s="1809"/>
      <c r="C139" s="1783"/>
      <c r="F139" s="1783"/>
      <c r="G139" s="2257"/>
      <c r="H139" s="2257"/>
      <c r="I139" s="2313"/>
      <c r="J139" s="2313"/>
      <c r="K139" s="2257"/>
      <c r="L139" s="2682"/>
      <c r="M139" s="2257"/>
      <c r="N139" s="2635"/>
      <c r="O139" s="2686"/>
      <c r="P139" s="2687"/>
      <c r="Q139" s="2247"/>
      <c r="R139" s="2676"/>
      <c r="S139" s="1827" t="s">
        <v>1645</v>
      </c>
      <c r="T139" s="1939">
        <f>0+10000000</f>
        <v>10000000</v>
      </c>
      <c r="U139" s="1753">
        <v>88</v>
      </c>
      <c r="V139" s="1691" t="s">
        <v>466</v>
      </c>
      <c r="W139" s="2678"/>
      <c r="X139" s="2667"/>
      <c r="Y139" s="2667"/>
      <c r="Z139" s="2667"/>
      <c r="AA139" s="2671"/>
      <c r="AB139" s="2671"/>
      <c r="AC139" s="2671"/>
      <c r="AD139" s="2671"/>
      <c r="AE139" s="2671"/>
      <c r="AF139" s="2671"/>
      <c r="AG139" s="2671"/>
      <c r="AH139" s="2671"/>
      <c r="AI139" s="2671"/>
      <c r="AJ139" s="2671"/>
      <c r="AK139" s="2671"/>
      <c r="AL139" s="2667"/>
      <c r="AM139" s="2606"/>
      <c r="AN139" s="2606"/>
      <c r="AO139" s="2257"/>
      <c r="AP139" s="1819"/>
    </row>
    <row r="140" spans="1:58" s="339" customFormat="1" ht="43.5" customHeight="1" x14ac:dyDescent="0.2">
      <c r="A140" s="1809"/>
      <c r="C140" s="1783"/>
      <c r="F140" s="1783"/>
      <c r="G140" s="2206">
        <v>4503004</v>
      </c>
      <c r="H140" s="2206" t="s">
        <v>1646</v>
      </c>
      <c r="I140" s="2247" t="s">
        <v>1647</v>
      </c>
      <c r="J140" s="2247" t="s">
        <v>1648</v>
      </c>
      <c r="K140" s="2206">
        <v>1</v>
      </c>
      <c r="L140" s="2206" t="s">
        <v>1649</v>
      </c>
      <c r="M140" s="2668" t="s">
        <v>1650</v>
      </c>
      <c r="N140" s="2247" t="s">
        <v>1651</v>
      </c>
      <c r="O140" s="2669">
        <f>SUM(T140:T142)/P140</f>
        <v>1</v>
      </c>
      <c r="P140" s="2670">
        <f>SUM(T140:T142)</f>
        <v>73229610.299999997</v>
      </c>
      <c r="Q140" s="2623" t="s">
        <v>1652</v>
      </c>
      <c r="R140" s="2258" t="s">
        <v>1653</v>
      </c>
      <c r="S140" s="2664" t="s">
        <v>1654</v>
      </c>
      <c r="T140" s="1953">
        <f>5000000+5000000</f>
        <v>10000000</v>
      </c>
      <c r="U140" s="1749">
        <v>88</v>
      </c>
      <c r="V140" s="1691" t="s">
        <v>466</v>
      </c>
      <c r="W140" s="2413">
        <v>763</v>
      </c>
      <c r="X140" s="2413">
        <v>737</v>
      </c>
      <c r="Y140" s="2413">
        <v>350</v>
      </c>
      <c r="Z140" s="2413">
        <v>114</v>
      </c>
      <c r="AA140" s="2407">
        <v>797</v>
      </c>
      <c r="AB140" s="2407">
        <v>239</v>
      </c>
      <c r="AC140" s="2407">
        <v>0</v>
      </c>
      <c r="AD140" s="2413">
        <v>0</v>
      </c>
      <c r="AE140" s="2413">
        <v>0</v>
      </c>
      <c r="AF140" s="2413">
        <v>0</v>
      </c>
      <c r="AG140" s="2413">
        <v>0</v>
      </c>
      <c r="AH140" s="2413">
        <v>0</v>
      </c>
      <c r="AI140" s="2413">
        <v>0</v>
      </c>
      <c r="AJ140" s="2413">
        <v>0</v>
      </c>
      <c r="AK140" s="2413">
        <v>0</v>
      </c>
      <c r="AL140" s="2413">
        <f>+W140+X140</f>
        <v>1500</v>
      </c>
      <c r="AM140" s="2661">
        <v>44057</v>
      </c>
      <c r="AN140" s="2604">
        <v>44195</v>
      </c>
      <c r="AO140" s="2190" t="s">
        <v>1486</v>
      </c>
      <c r="AP140" s="1828"/>
    </row>
    <row r="141" spans="1:58" s="339" customFormat="1" ht="40.5" customHeight="1" x14ac:dyDescent="0.2">
      <c r="A141" s="1809"/>
      <c r="C141" s="1783"/>
      <c r="G141" s="2206"/>
      <c r="H141" s="2206"/>
      <c r="I141" s="2247"/>
      <c r="J141" s="2247"/>
      <c r="K141" s="2206"/>
      <c r="L141" s="2206"/>
      <c r="M141" s="2668"/>
      <c r="N141" s="2247"/>
      <c r="O141" s="2669"/>
      <c r="P141" s="2670"/>
      <c r="Q141" s="2247"/>
      <c r="R141" s="2320"/>
      <c r="S141" s="2665"/>
      <c r="T141" s="1946">
        <v>5000000</v>
      </c>
      <c r="U141" s="1749">
        <v>20</v>
      </c>
      <c r="V141" s="1691" t="s">
        <v>70</v>
      </c>
      <c r="W141" s="2413"/>
      <c r="X141" s="2413"/>
      <c r="Y141" s="2413"/>
      <c r="Z141" s="2413"/>
      <c r="AA141" s="2413"/>
      <c r="AB141" s="2413"/>
      <c r="AC141" s="2413"/>
      <c r="AD141" s="2413"/>
      <c r="AE141" s="2413"/>
      <c r="AF141" s="2413"/>
      <c r="AG141" s="2413"/>
      <c r="AH141" s="2413"/>
      <c r="AI141" s="2413"/>
      <c r="AJ141" s="2413"/>
      <c r="AK141" s="2413"/>
      <c r="AL141" s="2413"/>
      <c r="AM141" s="2662"/>
      <c r="AN141" s="2605"/>
      <c r="AO141" s="2191"/>
      <c r="AP141" s="1819"/>
    </row>
    <row r="142" spans="1:58" s="339" customFormat="1" ht="72.75" customHeight="1" x14ac:dyDescent="0.2">
      <c r="A142" s="1829"/>
      <c r="B142" s="1830"/>
      <c r="C142" s="1831"/>
      <c r="G142" s="2206"/>
      <c r="H142" s="2206"/>
      <c r="I142" s="2247"/>
      <c r="J142" s="2247"/>
      <c r="K142" s="2206"/>
      <c r="L142" s="2206"/>
      <c r="M142" s="2668"/>
      <c r="N142" s="2247"/>
      <c r="O142" s="2669"/>
      <c r="P142" s="2670"/>
      <c r="Q142" s="2247"/>
      <c r="R142" s="2247"/>
      <c r="S142" s="1838" t="s">
        <v>1655</v>
      </c>
      <c r="T142" s="1939">
        <f>3229610.3+55000000</f>
        <v>58229610.299999997</v>
      </c>
      <c r="U142" s="1749">
        <v>88</v>
      </c>
      <c r="V142" s="1691" t="s">
        <v>466</v>
      </c>
      <c r="W142" s="2413"/>
      <c r="X142" s="2413"/>
      <c r="Y142" s="2413"/>
      <c r="Z142" s="2413"/>
      <c r="AA142" s="2413"/>
      <c r="AB142" s="2413"/>
      <c r="AC142" s="2413"/>
      <c r="AD142" s="2413"/>
      <c r="AE142" s="2413"/>
      <c r="AF142" s="2413"/>
      <c r="AG142" s="2413"/>
      <c r="AH142" s="2413"/>
      <c r="AI142" s="2413"/>
      <c r="AJ142" s="2413"/>
      <c r="AK142" s="2413"/>
      <c r="AL142" s="2413"/>
      <c r="AM142" s="2663"/>
      <c r="AN142" s="2606"/>
      <c r="AO142" s="2257"/>
    </row>
    <row r="143" spans="1:58" s="339" customFormat="1" ht="27" customHeight="1" x14ac:dyDescent="0.2">
      <c r="A143" s="20">
        <v>4</v>
      </c>
      <c r="B143" s="919" t="s">
        <v>267</v>
      </c>
      <c r="C143" s="292"/>
      <c r="D143" s="193"/>
      <c r="E143" s="194"/>
      <c r="F143" s="194"/>
      <c r="G143" s="292"/>
      <c r="H143" s="292"/>
      <c r="I143" s="193"/>
      <c r="J143" s="193"/>
      <c r="K143" s="194"/>
      <c r="L143" s="1480"/>
      <c r="M143" s="292"/>
      <c r="N143" s="193"/>
      <c r="O143" s="1832"/>
      <c r="P143" s="1936"/>
      <c r="Q143" s="193"/>
      <c r="R143" s="193"/>
      <c r="S143" s="1733"/>
      <c r="T143" s="1951"/>
      <c r="U143" s="1833"/>
      <c r="V143" s="1480"/>
      <c r="W143" s="292"/>
      <c r="X143" s="292"/>
      <c r="Y143" s="292"/>
      <c r="Z143" s="292"/>
      <c r="AA143" s="292"/>
      <c r="AB143" s="292"/>
      <c r="AC143" s="292"/>
      <c r="AD143" s="292"/>
      <c r="AE143" s="292"/>
      <c r="AF143" s="292"/>
      <c r="AG143" s="292"/>
      <c r="AH143" s="292"/>
      <c r="AI143" s="292"/>
      <c r="AJ143" s="292"/>
      <c r="AK143" s="292"/>
      <c r="AL143" s="292"/>
      <c r="AM143" s="292"/>
      <c r="AN143" s="292"/>
      <c r="AO143" s="920"/>
      <c r="AP143" s="1427"/>
      <c r="AQ143" s="1427"/>
      <c r="AR143" s="1427"/>
      <c r="AS143" s="1427"/>
      <c r="AT143" s="1427"/>
      <c r="AU143" s="1427"/>
      <c r="AV143" s="1427"/>
      <c r="AW143" s="1427"/>
      <c r="AX143" s="1427"/>
      <c r="AY143" s="1427"/>
      <c r="AZ143" s="1427"/>
      <c r="BA143" s="1427"/>
      <c r="BB143" s="1427"/>
      <c r="BC143" s="1427"/>
      <c r="BD143" s="1427"/>
      <c r="BE143" s="1427"/>
      <c r="BF143" s="1427"/>
    </row>
    <row r="144" spans="1:58" s="1427" customFormat="1" ht="27" customHeight="1" x14ac:dyDescent="0.2">
      <c r="A144" s="1738"/>
      <c r="B144" s="1722"/>
      <c r="C144" s="1739"/>
      <c r="D144" s="649">
        <v>42</v>
      </c>
      <c r="E144" s="675" t="s">
        <v>51</v>
      </c>
      <c r="F144" s="208"/>
      <c r="G144" s="209"/>
      <c r="H144" s="209"/>
      <c r="I144" s="210"/>
      <c r="J144" s="210"/>
      <c r="K144" s="211"/>
      <c r="L144" s="1490"/>
      <c r="M144" s="268"/>
      <c r="N144" s="260"/>
      <c r="O144" s="966"/>
      <c r="P144" s="1933"/>
      <c r="Q144" s="260"/>
      <c r="R144" s="260"/>
      <c r="S144" s="1772"/>
      <c r="T144" s="1940"/>
      <c r="U144" s="1744"/>
      <c r="V144" s="1571"/>
      <c r="W144" s="268"/>
      <c r="X144" s="268"/>
      <c r="Y144" s="268"/>
      <c r="Z144" s="268"/>
      <c r="AA144" s="268"/>
      <c r="AB144" s="268"/>
      <c r="AC144" s="268"/>
      <c r="AD144" s="268"/>
      <c r="AE144" s="268"/>
      <c r="AF144" s="268"/>
      <c r="AG144" s="268"/>
      <c r="AH144" s="268"/>
      <c r="AI144" s="268"/>
      <c r="AJ144" s="268"/>
      <c r="AK144" s="268"/>
      <c r="AL144" s="268"/>
      <c r="AM144" s="268"/>
      <c r="AN144" s="268"/>
      <c r="AO144" s="1834"/>
    </row>
    <row r="145" spans="1:41" s="339" customFormat="1" ht="50.25" customHeight="1" x14ac:dyDescent="0.2">
      <c r="A145" s="1809"/>
      <c r="C145" s="1783"/>
      <c r="D145" s="1816"/>
      <c r="E145" s="1816"/>
      <c r="F145" s="1835"/>
      <c r="G145" s="2657">
        <v>4502001</v>
      </c>
      <c r="H145" s="2657" t="s">
        <v>1656</v>
      </c>
      <c r="I145" s="2285" t="s">
        <v>945</v>
      </c>
      <c r="J145" s="2285" t="s">
        <v>1657</v>
      </c>
      <c r="K145" s="2190">
        <v>3</v>
      </c>
      <c r="L145" s="2190" t="s">
        <v>1658</v>
      </c>
      <c r="M145" s="2601" t="s">
        <v>1610</v>
      </c>
      <c r="N145" s="2285" t="s">
        <v>1611</v>
      </c>
      <c r="O145" s="2624">
        <f>SUM(T145:T155)/P145</f>
        <v>0.6438408217988385</v>
      </c>
      <c r="P145" s="2636">
        <f>SUM(T145:T160)</f>
        <v>98270667</v>
      </c>
      <c r="Q145" s="2285" t="s">
        <v>1612</v>
      </c>
      <c r="R145" s="2285" t="s">
        <v>1613</v>
      </c>
      <c r="S145" s="2639" t="s">
        <v>1659</v>
      </c>
      <c r="T145" s="1939">
        <v>4000000</v>
      </c>
      <c r="U145" s="1749">
        <v>88</v>
      </c>
      <c r="V145" s="1632" t="s">
        <v>466</v>
      </c>
      <c r="W145" s="2641">
        <v>4835</v>
      </c>
      <c r="X145" s="2657">
        <v>4665</v>
      </c>
      <c r="Y145" s="2657">
        <v>2214</v>
      </c>
      <c r="Z145" s="2657">
        <v>723</v>
      </c>
      <c r="AA145" s="2657">
        <v>5050</v>
      </c>
      <c r="AB145" s="2657">
        <v>1513</v>
      </c>
      <c r="AC145" s="2650">
        <v>0</v>
      </c>
      <c r="AD145" s="2650">
        <v>0</v>
      </c>
      <c r="AE145" s="2650">
        <v>0</v>
      </c>
      <c r="AF145" s="2650">
        <v>0</v>
      </c>
      <c r="AG145" s="2650">
        <v>0</v>
      </c>
      <c r="AH145" s="2650">
        <v>0</v>
      </c>
      <c r="AI145" s="2650">
        <v>0</v>
      </c>
      <c r="AJ145" s="2650">
        <v>0</v>
      </c>
      <c r="AK145" s="2650">
        <v>0</v>
      </c>
      <c r="AL145" s="2654">
        <f>W145+X145</f>
        <v>9500</v>
      </c>
      <c r="AM145" s="2604">
        <v>44061</v>
      </c>
      <c r="AN145" s="2604">
        <v>44195</v>
      </c>
      <c r="AO145" s="2285" t="s">
        <v>1486</v>
      </c>
    </row>
    <row r="146" spans="1:41" s="339" customFormat="1" ht="50.25" customHeight="1" x14ac:dyDescent="0.2">
      <c r="A146" s="1809"/>
      <c r="C146" s="1783"/>
      <c r="F146" s="1783"/>
      <c r="G146" s="2658"/>
      <c r="H146" s="2658"/>
      <c r="I146" s="2286"/>
      <c r="J146" s="2286"/>
      <c r="K146" s="2191"/>
      <c r="L146" s="2191"/>
      <c r="M146" s="2602"/>
      <c r="N146" s="2286"/>
      <c r="O146" s="2625"/>
      <c r="P146" s="2637"/>
      <c r="Q146" s="2286"/>
      <c r="R146" s="2286"/>
      <c r="S146" s="2640"/>
      <c r="T146" s="1939">
        <v>17540001</v>
      </c>
      <c r="U146" s="1749">
        <v>20</v>
      </c>
      <c r="V146" s="1632" t="s">
        <v>925</v>
      </c>
      <c r="W146" s="2642"/>
      <c r="X146" s="2658"/>
      <c r="Y146" s="2658"/>
      <c r="Z146" s="2658"/>
      <c r="AA146" s="2658"/>
      <c r="AB146" s="2658"/>
      <c r="AC146" s="2651"/>
      <c r="AD146" s="2651"/>
      <c r="AE146" s="2651"/>
      <c r="AF146" s="2651"/>
      <c r="AG146" s="2651"/>
      <c r="AH146" s="2651"/>
      <c r="AI146" s="2651"/>
      <c r="AJ146" s="2651"/>
      <c r="AK146" s="2651"/>
      <c r="AL146" s="2655"/>
      <c r="AM146" s="2605"/>
      <c r="AN146" s="2605"/>
      <c r="AO146" s="2286"/>
    </row>
    <row r="147" spans="1:41" s="339" customFormat="1" ht="50.25" customHeight="1" x14ac:dyDescent="0.2">
      <c r="A147" s="1809"/>
      <c r="C147" s="1783"/>
      <c r="F147" s="1783"/>
      <c r="G147" s="2658"/>
      <c r="H147" s="2658"/>
      <c r="I147" s="2286"/>
      <c r="J147" s="2286"/>
      <c r="K147" s="2191"/>
      <c r="L147" s="2191"/>
      <c r="M147" s="2602"/>
      <c r="N147" s="2286"/>
      <c r="O147" s="2625"/>
      <c r="P147" s="2637"/>
      <c r="Q147" s="2286"/>
      <c r="R147" s="2286"/>
      <c r="S147" s="1779" t="s">
        <v>1660</v>
      </c>
      <c r="T147" s="1939">
        <v>800000</v>
      </c>
      <c r="U147" s="1749">
        <v>88</v>
      </c>
      <c r="V147" s="1632" t="s">
        <v>466</v>
      </c>
      <c r="W147" s="2642"/>
      <c r="X147" s="2658"/>
      <c r="Y147" s="2658"/>
      <c r="Z147" s="2658"/>
      <c r="AA147" s="2658"/>
      <c r="AB147" s="2658"/>
      <c r="AC147" s="2651"/>
      <c r="AD147" s="2651"/>
      <c r="AE147" s="2651"/>
      <c r="AF147" s="2651"/>
      <c r="AG147" s="2651"/>
      <c r="AH147" s="2651"/>
      <c r="AI147" s="2651"/>
      <c r="AJ147" s="2651"/>
      <c r="AK147" s="2651"/>
      <c r="AL147" s="2655"/>
      <c r="AM147" s="2605"/>
      <c r="AN147" s="2605"/>
      <c r="AO147" s="2286"/>
    </row>
    <row r="148" spans="1:41" s="339" customFormat="1" ht="50.25" customHeight="1" x14ac:dyDescent="0.2">
      <c r="A148" s="1809"/>
      <c r="C148" s="1783"/>
      <c r="F148" s="1783"/>
      <c r="G148" s="2658"/>
      <c r="H148" s="2658"/>
      <c r="I148" s="2286"/>
      <c r="J148" s="2286"/>
      <c r="K148" s="2191"/>
      <c r="L148" s="2191"/>
      <c r="M148" s="2602"/>
      <c r="N148" s="2286"/>
      <c r="O148" s="2625"/>
      <c r="P148" s="2637"/>
      <c r="Q148" s="2286"/>
      <c r="R148" s="2286"/>
      <c r="S148" s="1779" t="s">
        <v>1661</v>
      </c>
      <c r="T148" s="1942">
        <v>0</v>
      </c>
      <c r="U148" s="1749"/>
      <c r="V148" s="1632"/>
      <c r="W148" s="2642"/>
      <c r="X148" s="2658"/>
      <c r="Y148" s="2658"/>
      <c r="Z148" s="2658"/>
      <c r="AA148" s="2658"/>
      <c r="AB148" s="2658"/>
      <c r="AC148" s="2651"/>
      <c r="AD148" s="2651"/>
      <c r="AE148" s="2651"/>
      <c r="AF148" s="2651"/>
      <c r="AG148" s="2651"/>
      <c r="AH148" s="2651"/>
      <c r="AI148" s="2651"/>
      <c r="AJ148" s="2651"/>
      <c r="AK148" s="2651"/>
      <c r="AL148" s="2655"/>
      <c r="AM148" s="2605"/>
      <c r="AN148" s="2605"/>
      <c r="AO148" s="2286"/>
    </row>
    <row r="149" spans="1:41" s="339" customFormat="1" ht="50.25" customHeight="1" x14ac:dyDescent="0.2">
      <c r="A149" s="1809"/>
      <c r="C149" s="1783"/>
      <c r="F149" s="1783"/>
      <c r="G149" s="2658"/>
      <c r="H149" s="2658"/>
      <c r="I149" s="2286"/>
      <c r="J149" s="2286"/>
      <c r="K149" s="2191"/>
      <c r="L149" s="2191"/>
      <c r="M149" s="2602"/>
      <c r="N149" s="2286"/>
      <c r="O149" s="2625"/>
      <c r="P149" s="2637"/>
      <c r="Q149" s="2286"/>
      <c r="R149" s="2286"/>
      <c r="S149" s="1779" t="s">
        <v>1662</v>
      </c>
      <c r="T149" s="1939">
        <v>200000</v>
      </c>
      <c r="U149" s="1749">
        <v>88</v>
      </c>
      <c r="V149" s="1632" t="s">
        <v>466</v>
      </c>
      <c r="W149" s="2642"/>
      <c r="X149" s="2658"/>
      <c r="Y149" s="2658"/>
      <c r="Z149" s="2658"/>
      <c r="AA149" s="2658"/>
      <c r="AB149" s="2658"/>
      <c r="AC149" s="2651"/>
      <c r="AD149" s="2651"/>
      <c r="AE149" s="2651"/>
      <c r="AF149" s="2651"/>
      <c r="AG149" s="2651"/>
      <c r="AH149" s="2651"/>
      <c r="AI149" s="2651"/>
      <c r="AJ149" s="2651"/>
      <c r="AK149" s="2651"/>
      <c r="AL149" s="2655"/>
      <c r="AM149" s="2605"/>
      <c r="AN149" s="2605"/>
      <c r="AO149" s="2286"/>
    </row>
    <row r="150" spans="1:41" s="339" customFormat="1" ht="50.25" customHeight="1" x14ac:dyDescent="0.2">
      <c r="A150" s="1809"/>
      <c r="C150" s="1783"/>
      <c r="F150" s="1783"/>
      <c r="G150" s="2658"/>
      <c r="H150" s="2658"/>
      <c r="I150" s="2286"/>
      <c r="J150" s="2286"/>
      <c r="K150" s="2191"/>
      <c r="L150" s="2191"/>
      <c r="M150" s="2602"/>
      <c r="N150" s="2286"/>
      <c r="O150" s="2625"/>
      <c r="P150" s="2637"/>
      <c r="Q150" s="2286"/>
      <c r="R150" s="2286"/>
      <c r="S150" s="1779" t="s">
        <v>1663</v>
      </c>
      <c r="T150" s="1942">
        <v>0</v>
      </c>
      <c r="U150" s="1749"/>
      <c r="V150" s="1632"/>
      <c r="W150" s="2642"/>
      <c r="X150" s="2658"/>
      <c r="Y150" s="2658"/>
      <c r="Z150" s="2658"/>
      <c r="AA150" s="2658"/>
      <c r="AB150" s="2658"/>
      <c r="AC150" s="2651"/>
      <c r="AD150" s="2651"/>
      <c r="AE150" s="2651"/>
      <c r="AF150" s="2651"/>
      <c r="AG150" s="2651"/>
      <c r="AH150" s="2651"/>
      <c r="AI150" s="2651"/>
      <c r="AJ150" s="2651"/>
      <c r="AK150" s="2651"/>
      <c r="AL150" s="2655"/>
      <c r="AM150" s="2605"/>
      <c r="AN150" s="2605"/>
      <c r="AO150" s="2286"/>
    </row>
    <row r="151" spans="1:41" s="339" customFormat="1" ht="50.25" customHeight="1" x14ac:dyDescent="0.2">
      <c r="A151" s="1809"/>
      <c r="C151" s="1783"/>
      <c r="F151" s="1783"/>
      <c r="G151" s="2658"/>
      <c r="H151" s="2658"/>
      <c r="I151" s="2286"/>
      <c r="J151" s="2286"/>
      <c r="K151" s="2191"/>
      <c r="L151" s="2191"/>
      <c r="M151" s="2602"/>
      <c r="N151" s="2286"/>
      <c r="O151" s="2625"/>
      <c r="P151" s="2637"/>
      <c r="Q151" s="2286"/>
      <c r="R151" s="2286"/>
      <c r="S151" s="1779" t="s">
        <v>1664</v>
      </c>
      <c r="T151" s="1942">
        <v>0</v>
      </c>
      <c r="U151" s="1749"/>
      <c r="V151" s="1632"/>
      <c r="W151" s="2642"/>
      <c r="X151" s="2658"/>
      <c r="Y151" s="2658"/>
      <c r="Z151" s="2658"/>
      <c r="AA151" s="2658"/>
      <c r="AB151" s="2658"/>
      <c r="AC151" s="2651"/>
      <c r="AD151" s="2651"/>
      <c r="AE151" s="2651"/>
      <c r="AF151" s="2651"/>
      <c r="AG151" s="2651"/>
      <c r="AH151" s="2651"/>
      <c r="AI151" s="2651"/>
      <c r="AJ151" s="2651"/>
      <c r="AK151" s="2651"/>
      <c r="AL151" s="2655"/>
      <c r="AM151" s="2605"/>
      <c r="AN151" s="2605"/>
      <c r="AO151" s="2286"/>
    </row>
    <row r="152" spans="1:41" s="339" customFormat="1" ht="50.25" customHeight="1" x14ac:dyDescent="0.2">
      <c r="A152" s="1809"/>
      <c r="C152" s="1783"/>
      <c r="F152" s="1783"/>
      <c r="G152" s="2658"/>
      <c r="H152" s="2658"/>
      <c r="I152" s="2286"/>
      <c r="J152" s="2286"/>
      <c r="K152" s="2191"/>
      <c r="L152" s="2191"/>
      <c r="M152" s="2602"/>
      <c r="N152" s="2286"/>
      <c r="O152" s="2625"/>
      <c r="P152" s="2637"/>
      <c r="Q152" s="2286"/>
      <c r="R152" s="2286"/>
      <c r="S152" s="1779" t="s">
        <v>1665</v>
      </c>
      <c r="T152" s="1939">
        <v>3730666</v>
      </c>
      <c r="U152" s="1749">
        <v>20</v>
      </c>
      <c r="V152" s="1632" t="s">
        <v>925</v>
      </c>
      <c r="W152" s="2642"/>
      <c r="X152" s="2658"/>
      <c r="Y152" s="2658"/>
      <c r="Z152" s="2658"/>
      <c r="AA152" s="2658"/>
      <c r="AB152" s="2658"/>
      <c r="AC152" s="2651"/>
      <c r="AD152" s="2651"/>
      <c r="AE152" s="2651"/>
      <c r="AF152" s="2651"/>
      <c r="AG152" s="2651"/>
      <c r="AH152" s="2651"/>
      <c r="AI152" s="2651"/>
      <c r="AJ152" s="2651"/>
      <c r="AK152" s="2651"/>
      <c r="AL152" s="2655"/>
      <c r="AM152" s="2605"/>
      <c r="AN152" s="2605"/>
      <c r="AO152" s="2286"/>
    </row>
    <row r="153" spans="1:41" s="339" customFormat="1" ht="50.25" customHeight="1" x14ac:dyDescent="0.2">
      <c r="A153" s="1809"/>
      <c r="C153" s="1783"/>
      <c r="F153" s="1783"/>
      <c r="G153" s="2658"/>
      <c r="H153" s="2658"/>
      <c r="I153" s="2286"/>
      <c r="J153" s="2286"/>
      <c r="K153" s="2191"/>
      <c r="L153" s="2191"/>
      <c r="M153" s="2602"/>
      <c r="N153" s="2286"/>
      <c r="O153" s="2625"/>
      <c r="P153" s="2637"/>
      <c r="Q153" s="2286"/>
      <c r="R153" s="2286"/>
      <c r="S153" s="2639" t="s">
        <v>1666</v>
      </c>
      <c r="T153" s="1939">
        <f>0+35000000</f>
        <v>35000000</v>
      </c>
      <c r="U153" s="1749">
        <v>88</v>
      </c>
      <c r="V153" s="1632" t="s">
        <v>466</v>
      </c>
      <c r="W153" s="2642"/>
      <c r="X153" s="2658"/>
      <c r="Y153" s="2658"/>
      <c r="Z153" s="2658"/>
      <c r="AA153" s="2658"/>
      <c r="AB153" s="2658"/>
      <c r="AC153" s="2651"/>
      <c r="AD153" s="2651"/>
      <c r="AE153" s="2651"/>
      <c r="AF153" s="2651"/>
      <c r="AG153" s="2651"/>
      <c r="AH153" s="2651"/>
      <c r="AI153" s="2651"/>
      <c r="AJ153" s="2651"/>
      <c r="AK153" s="2651"/>
      <c r="AL153" s="2655"/>
      <c r="AM153" s="2605"/>
      <c r="AN153" s="2605"/>
      <c r="AO153" s="2286"/>
    </row>
    <row r="154" spans="1:41" s="339" customFormat="1" ht="75.75" customHeight="1" x14ac:dyDescent="0.2">
      <c r="A154" s="1809"/>
      <c r="C154" s="1783"/>
      <c r="F154" s="1783"/>
      <c r="G154" s="2658"/>
      <c r="H154" s="2658"/>
      <c r="I154" s="2286"/>
      <c r="J154" s="2286"/>
      <c r="K154" s="2191"/>
      <c r="L154" s="2191"/>
      <c r="M154" s="2602"/>
      <c r="N154" s="2286"/>
      <c r="O154" s="2625"/>
      <c r="P154" s="2637"/>
      <c r="Q154" s="2286"/>
      <c r="R154" s="2286"/>
      <c r="S154" s="2640"/>
      <c r="T154" s="1939">
        <v>2000000</v>
      </c>
      <c r="U154" s="1749">
        <v>20</v>
      </c>
      <c r="V154" s="1632" t="s">
        <v>925</v>
      </c>
      <c r="W154" s="2642"/>
      <c r="X154" s="2658"/>
      <c r="Y154" s="2658"/>
      <c r="Z154" s="2658"/>
      <c r="AA154" s="2658"/>
      <c r="AB154" s="2658"/>
      <c r="AC154" s="2651"/>
      <c r="AD154" s="2651"/>
      <c r="AE154" s="2651"/>
      <c r="AF154" s="2651"/>
      <c r="AG154" s="2651"/>
      <c r="AH154" s="2651"/>
      <c r="AI154" s="2651"/>
      <c r="AJ154" s="2651"/>
      <c r="AK154" s="2651"/>
      <c r="AL154" s="2655"/>
      <c r="AM154" s="2605"/>
      <c r="AN154" s="2605"/>
      <c r="AO154" s="2286"/>
    </row>
    <row r="155" spans="1:41" s="339" customFormat="1" ht="78.75" customHeight="1" x14ac:dyDescent="0.2">
      <c r="A155" s="1809"/>
      <c r="C155" s="1783"/>
      <c r="F155" s="1783"/>
      <c r="G155" s="2659"/>
      <c r="H155" s="2659"/>
      <c r="I155" s="2313"/>
      <c r="J155" s="2313"/>
      <c r="K155" s="2257"/>
      <c r="L155" s="2191"/>
      <c r="M155" s="2602"/>
      <c r="N155" s="2286"/>
      <c r="O155" s="2660"/>
      <c r="P155" s="2637"/>
      <c r="Q155" s="2286"/>
      <c r="R155" s="2286"/>
      <c r="S155" s="1779" t="s">
        <v>1667</v>
      </c>
      <c r="T155" s="1942">
        <v>0</v>
      </c>
      <c r="U155" s="1792"/>
      <c r="V155" s="1657"/>
      <c r="W155" s="2642"/>
      <c r="X155" s="2658"/>
      <c r="Y155" s="2658"/>
      <c r="Z155" s="2658"/>
      <c r="AA155" s="2658"/>
      <c r="AB155" s="2658"/>
      <c r="AC155" s="2651"/>
      <c r="AD155" s="2651"/>
      <c r="AE155" s="2651"/>
      <c r="AF155" s="2651"/>
      <c r="AG155" s="2651"/>
      <c r="AH155" s="2651"/>
      <c r="AI155" s="2651"/>
      <c r="AJ155" s="2651"/>
      <c r="AK155" s="2651"/>
      <c r="AL155" s="2655"/>
      <c r="AM155" s="2605"/>
      <c r="AN155" s="2605"/>
      <c r="AO155" s="2286"/>
    </row>
    <row r="156" spans="1:41" s="339" customFormat="1" ht="50.25" customHeight="1" x14ac:dyDescent="0.2">
      <c r="A156" s="1809"/>
      <c r="C156" s="1783"/>
      <c r="F156" s="1783"/>
      <c r="G156" s="2190" t="s">
        <v>567</v>
      </c>
      <c r="H156" s="2190" t="s">
        <v>1668</v>
      </c>
      <c r="I156" s="2285" t="s">
        <v>1669</v>
      </c>
      <c r="J156" s="2285" t="s">
        <v>1670</v>
      </c>
      <c r="K156" s="2190">
        <v>1</v>
      </c>
      <c r="L156" s="2191"/>
      <c r="M156" s="2602"/>
      <c r="N156" s="2286"/>
      <c r="O156" s="2647">
        <f>SUM(T156:T160)/P145</f>
        <v>0.3561591782011615</v>
      </c>
      <c r="P156" s="2637"/>
      <c r="Q156" s="2286"/>
      <c r="R156" s="2286"/>
      <c r="S156" s="1779" t="s">
        <v>1671</v>
      </c>
      <c r="T156" s="1939">
        <v>20000000</v>
      </c>
      <c r="U156" s="1749">
        <v>88</v>
      </c>
      <c r="V156" s="1632" t="s">
        <v>466</v>
      </c>
      <c r="W156" s="2642"/>
      <c r="X156" s="2658"/>
      <c r="Y156" s="2658"/>
      <c r="Z156" s="2658"/>
      <c r="AA156" s="2658"/>
      <c r="AB156" s="2658"/>
      <c r="AC156" s="2651"/>
      <c r="AD156" s="2651"/>
      <c r="AE156" s="2651"/>
      <c r="AF156" s="2651"/>
      <c r="AG156" s="2651"/>
      <c r="AH156" s="2651"/>
      <c r="AI156" s="2651"/>
      <c r="AJ156" s="2651"/>
      <c r="AK156" s="2651"/>
      <c r="AL156" s="2655"/>
      <c r="AM156" s="2605"/>
      <c r="AN156" s="2605"/>
      <c r="AO156" s="2286"/>
    </row>
    <row r="157" spans="1:41" s="339" customFormat="1" ht="66.75" customHeight="1" x14ac:dyDescent="0.2">
      <c r="A157" s="1809"/>
      <c r="C157" s="1783"/>
      <c r="F157" s="1783"/>
      <c r="G157" s="2191"/>
      <c r="H157" s="2191"/>
      <c r="I157" s="2286"/>
      <c r="J157" s="2286"/>
      <c r="K157" s="2191"/>
      <c r="L157" s="2191"/>
      <c r="M157" s="2602"/>
      <c r="N157" s="2286"/>
      <c r="O157" s="2648"/>
      <c r="P157" s="2637"/>
      <c r="Q157" s="2286"/>
      <c r="R157" s="2286"/>
      <c r="S157" s="1779" t="s">
        <v>1672</v>
      </c>
      <c r="T157" s="1939">
        <f>45000000-35000000</f>
        <v>10000000</v>
      </c>
      <c r="U157" s="1749">
        <v>88</v>
      </c>
      <c r="V157" s="1632" t="s">
        <v>466</v>
      </c>
      <c r="W157" s="2642"/>
      <c r="X157" s="2658"/>
      <c r="Y157" s="2658"/>
      <c r="Z157" s="2658"/>
      <c r="AA157" s="2658"/>
      <c r="AB157" s="2658"/>
      <c r="AC157" s="2651"/>
      <c r="AD157" s="2651"/>
      <c r="AE157" s="2651"/>
      <c r="AF157" s="2651"/>
      <c r="AG157" s="2651"/>
      <c r="AH157" s="2651"/>
      <c r="AI157" s="2651"/>
      <c r="AJ157" s="2651"/>
      <c r="AK157" s="2651"/>
      <c r="AL157" s="2655"/>
      <c r="AM157" s="2605"/>
      <c r="AN157" s="2605"/>
      <c r="AO157" s="2286"/>
    </row>
    <row r="158" spans="1:41" s="339" customFormat="1" ht="50.25" customHeight="1" x14ac:dyDescent="0.2">
      <c r="A158" s="1809"/>
      <c r="C158" s="1783"/>
      <c r="F158" s="1783"/>
      <c r="G158" s="2191"/>
      <c r="H158" s="2191"/>
      <c r="I158" s="2286"/>
      <c r="J158" s="2286"/>
      <c r="K158" s="2191"/>
      <c r="L158" s="2191"/>
      <c r="M158" s="2602"/>
      <c r="N158" s="2286"/>
      <c r="O158" s="2648"/>
      <c r="P158" s="2637"/>
      <c r="Q158" s="2286"/>
      <c r="R158" s="2286"/>
      <c r="S158" s="1779" t="s">
        <v>1673</v>
      </c>
      <c r="T158" s="1939">
        <v>5000000</v>
      </c>
      <c r="U158" s="1749">
        <v>88</v>
      </c>
      <c r="V158" s="1632" t="s">
        <v>466</v>
      </c>
      <c r="W158" s="2642"/>
      <c r="X158" s="2658"/>
      <c r="Y158" s="2658"/>
      <c r="Z158" s="2658"/>
      <c r="AA158" s="2658"/>
      <c r="AB158" s="2658"/>
      <c r="AC158" s="2651"/>
      <c r="AD158" s="2651"/>
      <c r="AE158" s="2651"/>
      <c r="AF158" s="2651"/>
      <c r="AG158" s="2651"/>
      <c r="AH158" s="2651"/>
      <c r="AI158" s="2651"/>
      <c r="AJ158" s="2651"/>
      <c r="AK158" s="2651"/>
      <c r="AL158" s="2655"/>
      <c r="AM158" s="2605"/>
      <c r="AN158" s="2605"/>
      <c r="AO158" s="2286"/>
    </row>
    <row r="159" spans="1:41" s="339" customFormat="1" ht="50.25" customHeight="1" x14ac:dyDescent="0.2">
      <c r="A159" s="1809"/>
      <c r="C159" s="1783"/>
      <c r="F159" s="1783"/>
      <c r="G159" s="2191"/>
      <c r="H159" s="2191"/>
      <c r="I159" s="2286"/>
      <c r="J159" s="2286"/>
      <c r="K159" s="2191"/>
      <c r="L159" s="2191"/>
      <c r="M159" s="2602"/>
      <c r="N159" s="2286"/>
      <c r="O159" s="2648"/>
      <c r="P159" s="2637"/>
      <c r="Q159" s="2286"/>
      <c r="R159" s="2286"/>
      <c r="S159" s="1779" t="s">
        <v>1674</v>
      </c>
      <c r="T159" s="1942">
        <v>0</v>
      </c>
      <c r="U159" s="1749"/>
      <c r="V159" s="1632"/>
      <c r="W159" s="2642"/>
      <c r="X159" s="2658"/>
      <c r="Y159" s="2658"/>
      <c r="Z159" s="2658"/>
      <c r="AA159" s="2658"/>
      <c r="AB159" s="2658"/>
      <c r="AC159" s="2651"/>
      <c r="AD159" s="2651"/>
      <c r="AE159" s="2651"/>
      <c r="AF159" s="2651"/>
      <c r="AG159" s="2651"/>
      <c r="AH159" s="2651"/>
      <c r="AI159" s="2651"/>
      <c r="AJ159" s="2651"/>
      <c r="AK159" s="2651"/>
      <c r="AL159" s="2655"/>
      <c r="AM159" s="2605"/>
      <c r="AN159" s="2605"/>
      <c r="AO159" s="2286"/>
    </row>
    <row r="160" spans="1:41" s="339" customFormat="1" ht="50.25" customHeight="1" x14ac:dyDescent="0.2">
      <c r="A160" s="1809"/>
      <c r="C160" s="1783"/>
      <c r="F160" s="1783"/>
      <c r="G160" s="2257"/>
      <c r="H160" s="2191"/>
      <c r="I160" s="2313"/>
      <c r="J160" s="2313"/>
      <c r="K160" s="2653"/>
      <c r="L160" s="2191"/>
      <c r="M160" s="2603"/>
      <c r="N160" s="2313"/>
      <c r="O160" s="2649"/>
      <c r="P160" s="2638"/>
      <c r="Q160" s="2313"/>
      <c r="R160" s="2313"/>
      <c r="S160" s="1779" t="s">
        <v>1675</v>
      </c>
      <c r="T160" s="1942">
        <v>0</v>
      </c>
      <c r="U160" s="1837"/>
      <c r="V160" s="1632"/>
      <c r="W160" s="2643"/>
      <c r="X160" s="2659"/>
      <c r="Y160" s="2659"/>
      <c r="Z160" s="2659"/>
      <c r="AA160" s="2659"/>
      <c r="AB160" s="2659"/>
      <c r="AC160" s="2652"/>
      <c r="AD160" s="2652"/>
      <c r="AE160" s="2652"/>
      <c r="AF160" s="2652"/>
      <c r="AG160" s="2652"/>
      <c r="AH160" s="2652"/>
      <c r="AI160" s="2652"/>
      <c r="AJ160" s="2652"/>
      <c r="AK160" s="2652"/>
      <c r="AL160" s="2656"/>
      <c r="AM160" s="2606"/>
      <c r="AN160" s="2606"/>
      <c r="AO160" s="2313"/>
    </row>
    <row r="161" spans="1:41" s="339" customFormat="1" ht="50.25" customHeight="1" x14ac:dyDescent="0.2">
      <c r="A161" s="1809"/>
      <c r="C161" s="1783"/>
      <c r="F161" s="1783"/>
      <c r="G161" s="2281" t="s">
        <v>567</v>
      </c>
      <c r="H161" s="2206" t="s">
        <v>1676</v>
      </c>
      <c r="I161" s="2630" t="s">
        <v>1677</v>
      </c>
      <c r="J161" s="2633" t="s">
        <v>1678</v>
      </c>
      <c r="K161" s="2301">
        <v>12</v>
      </c>
      <c r="L161" s="2206" t="s">
        <v>1679</v>
      </c>
      <c r="M161" s="2644" t="s">
        <v>1680</v>
      </c>
      <c r="N161" s="2285" t="s">
        <v>1681</v>
      </c>
      <c r="O161" s="2647">
        <f>SUM(T161:T166)/P161</f>
        <v>0.66555183946488294</v>
      </c>
      <c r="P161" s="2636">
        <f>SUM(T161:T167)</f>
        <v>29900000</v>
      </c>
      <c r="Q161" s="2285" t="s">
        <v>1682</v>
      </c>
      <c r="R161" s="2633" t="s">
        <v>1683</v>
      </c>
      <c r="S161" s="2622" t="s">
        <v>1684</v>
      </c>
      <c r="T161" s="1939">
        <v>11900000</v>
      </c>
      <c r="U161" s="1790">
        <v>20</v>
      </c>
      <c r="V161" s="1631" t="s">
        <v>925</v>
      </c>
      <c r="W161" s="2190">
        <v>2290</v>
      </c>
      <c r="X161" s="2190">
        <v>2210</v>
      </c>
      <c r="Y161" s="2190">
        <v>0</v>
      </c>
      <c r="Z161" s="2190">
        <v>0</v>
      </c>
      <c r="AA161" s="2190">
        <v>4500</v>
      </c>
      <c r="AB161" s="2190">
        <v>0</v>
      </c>
      <c r="AC161" s="2190">
        <v>0</v>
      </c>
      <c r="AD161" s="2190">
        <v>0</v>
      </c>
      <c r="AE161" s="2190">
        <v>0</v>
      </c>
      <c r="AF161" s="2190">
        <v>0</v>
      </c>
      <c r="AG161" s="2190">
        <v>0</v>
      </c>
      <c r="AH161" s="2190">
        <v>0</v>
      </c>
      <c r="AI161" s="2190">
        <v>0</v>
      </c>
      <c r="AJ161" s="2190">
        <v>0</v>
      </c>
      <c r="AK161" s="2190">
        <v>0</v>
      </c>
      <c r="AL161" s="2190">
        <f>W161+X161</f>
        <v>4500</v>
      </c>
      <c r="AM161" s="2604">
        <v>44061</v>
      </c>
      <c r="AN161" s="2604">
        <v>44195</v>
      </c>
      <c r="AO161" s="2285" t="s">
        <v>1486</v>
      </c>
    </row>
    <row r="162" spans="1:41" s="339" customFormat="1" ht="32.25" customHeight="1" x14ac:dyDescent="0.2">
      <c r="A162" s="1809"/>
      <c r="C162" s="1783"/>
      <c r="F162" s="1783"/>
      <c r="G162" s="2282"/>
      <c r="H162" s="2206"/>
      <c r="I162" s="2631"/>
      <c r="J162" s="2634"/>
      <c r="K162" s="2301"/>
      <c r="L162" s="2206"/>
      <c r="M162" s="2645"/>
      <c r="N162" s="2286"/>
      <c r="O162" s="2648"/>
      <c r="P162" s="2637"/>
      <c r="Q162" s="2286"/>
      <c r="R162" s="2634"/>
      <c r="S162" s="2622"/>
      <c r="T162" s="1939">
        <v>2000000</v>
      </c>
      <c r="U162" s="1749">
        <v>88</v>
      </c>
      <c r="V162" s="1632" t="s">
        <v>466</v>
      </c>
      <c r="W162" s="2191"/>
      <c r="X162" s="2191"/>
      <c r="Y162" s="2191"/>
      <c r="Z162" s="2191"/>
      <c r="AA162" s="2191"/>
      <c r="AB162" s="2191"/>
      <c r="AC162" s="2191"/>
      <c r="AD162" s="2191"/>
      <c r="AE162" s="2191"/>
      <c r="AF162" s="2191"/>
      <c r="AG162" s="2191"/>
      <c r="AH162" s="2191"/>
      <c r="AI162" s="2191"/>
      <c r="AJ162" s="2191"/>
      <c r="AK162" s="2191"/>
      <c r="AL162" s="2191"/>
      <c r="AM162" s="2605"/>
      <c r="AN162" s="2605"/>
      <c r="AO162" s="2286"/>
    </row>
    <row r="163" spans="1:41" s="339" customFormat="1" ht="51.75" customHeight="1" x14ac:dyDescent="0.2">
      <c r="A163" s="1809"/>
      <c r="C163" s="1783"/>
      <c r="F163" s="1783"/>
      <c r="G163" s="2282"/>
      <c r="H163" s="2206"/>
      <c r="I163" s="2631"/>
      <c r="J163" s="2634"/>
      <c r="K163" s="2301"/>
      <c r="L163" s="2206"/>
      <c r="M163" s="2645"/>
      <c r="N163" s="2286"/>
      <c r="O163" s="2648"/>
      <c r="P163" s="2637"/>
      <c r="Q163" s="2286"/>
      <c r="R163" s="2634"/>
      <c r="S163" s="1838" t="s">
        <v>1685</v>
      </c>
      <c r="T163" s="1939">
        <v>2000000</v>
      </c>
      <c r="U163" s="1749">
        <v>88</v>
      </c>
      <c r="V163" s="1632" t="s">
        <v>466</v>
      </c>
      <c r="W163" s="2191"/>
      <c r="X163" s="2191"/>
      <c r="Y163" s="2191"/>
      <c r="Z163" s="2191"/>
      <c r="AA163" s="2191"/>
      <c r="AB163" s="2191"/>
      <c r="AC163" s="2191"/>
      <c r="AD163" s="2191"/>
      <c r="AE163" s="2191"/>
      <c r="AF163" s="2191"/>
      <c r="AG163" s="2191"/>
      <c r="AH163" s="2191"/>
      <c r="AI163" s="2191"/>
      <c r="AJ163" s="2191"/>
      <c r="AK163" s="2191"/>
      <c r="AL163" s="2191"/>
      <c r="AM163" s="2605"/>
      <c r="AN163" s="2605"/>
      <c r="AO163" s="2286"/>
    </row>
    <row r="164" spans="1:41" s="339" customFormat="1" ht="38.25" customHeight="1" x14ac:dyDescent="0.2">
      <c r="A164" s="1809"/>
      <c r="C164" s="1783"/>
      <c r="F164" s="1783"/>
      <c r="G164" s="2282"/>
      <c r="H164" s="2206"/>
      <c r="I164" s="2631"/>
      <c r="J164" s="2634"/>
      <c r="K164" s="2301"/>
      <c r="L164" s="2206"/>
      <c r="M164" s="2645"/>
      <c r="N164" s="2286"/>
      <c r="O164" s="2648"/>
      <c r="P164" s="2637"/>
      <c r="Q164" s="2286"/>
      <c r="R164" s="2634"/>
      <c r="S164" s="1838" t="s">
        <v>1686</v>
      </c>
      <c r="T164" s="1939">
        <v>1000000</v>
      </c>
      <c r="U164" s="1749">
        <v>88</v>
      </c>
      <c r="V164" s="1632" t="s">
        <v>466</v>
      </c>
      <c r="W164" s="2191"/>
      <c r="X164" s="2191"/>
      <c r="Y164" s="2191"/>
      <c r="Z164" s="2191"/>
      <c r="AA164" s="2191"/>
      <c r="AB164" s="2191"/>
      <c r="AC164" s="2191"/>
      <c r="AD164" s="2191"/>
      <c r="AE164" s="2191"/>
      <c r="AF164" s="2191"/>
      <c r="AG164" s="2191"/>
      <c r="AH164" s="2191"/>
      <c r="AI164" s="2191"/>
      <c r="AJ164" s="2191"/>
      <c r="AK164" s="2191"/>
      <c r="AL164" s="2191"/>
      <c r="AM164" s="2605"/>
      <c r="AN164" s="2605"/>
      <c r="AO164" s="2286"/>
    </row>
    <row r="165" spans="1:41" s="339" customFormat="1" ht="57.75" customHeight="1" x14ac:dyDescent="0.2">
      <c r="A165" s="1809"/>
      <c r="C165" s="1783"/>
      <c r="F165" s="1783"/>
      <c r="G165" s="2282"/>
      <c r="H165" s="2206"/>
      <c r="I165" s="2631"/>
      <c r="J165" s="2634"/>
      <c r="K165" s="2301"/>
      <c r="L165" s="2206"/>
      <c r="M165" s="2645"/>
      <c r="N165" s="2286"/>
      <c r="O165" s="2648"/>
      <c r="P165" s="2637"/>
      <c r="Q165" s="2286"/>
      <c r="R165" s="2634"/>
      <c r="S165" s="1799" t="s">
        <v>1687</v>
      </c>
      <c r="T165" s="1939">
        <v>1000000</v>
      </c>
      <c r="U165" s="1749">
        <v>88</v>
      </c>
      <c r="V165" s="1632" t="s">
        <v>466</v>
      </c>
      <c r="W165" s="2191"/>
      <c r="X165" s="2191"/>
      <c r="Y165" s="2191"/>
      <c r="Z165" s="2191"/>
      <c r="AA165" s="2191"/>
      <c r="AB165" s="2191"/>
      <c r="AC165" s="2191"/>
      <c r="AD165" s="2191"/>
      <c r="AE165" s="2191"/>
      <c r="AF165" s="2191"/>
      <c r="AG165" s="2191"/>
      <c r="AH165" s="2191"/>
      <c r="AI165" s="2191"/>
      <c r="AJ165" s="2191"/>
      <c r="AK165" s="2191"/>
      <c r="AL165" s="2191"/>
      <c r="AM165" s="2605"/>
      <c r="AN165" s="2605"/>
      <c r="AO165" s="2286"/>
    </row>
    <row r="166" spans="1:41" s="339" customFormat="1" ht="63.75" customHeight="1" x14ac:dyDescent="0.2">
      <c r="A166" s="1809"/>
      <c r="C166" s="1783"/>
      <c r="F166" s="1783"/>
      <c r="G166" s="2283"/>
      <c r="H166" s="2206"/>
      <c r="I166" s="2632"/>
      <c r="J166" s="2635"/>
      <c r="K166" s="2301"/>
      <c r="L166" s="2206"/>
      <c r="M166" s="2645"/>
      <c r="N166" s="2286"/>
      <c r="O166" s="2649"/>
      <c r="P166" s="2637"/>
      <c r="Q166" s="2286"/>
      <c r="R166" s="2634"/>
      <c r="S166" s="1838" t="s">
        <v>1688</v>
      </c>
      <c r="T166" s="1939">
        <v>2000000</v>
      </c>
      <c r="U166" s="1749">
        <v>88</v>
      </c>
      <c r="V166" s="1632" t="s">
        <v>466</v>
      </c>
      <c r="W166" s="2191"/>
      <c r="X166" s="2191"/>
      <c r="Y166" s="2191"/>
      <c r="Z166" s="2191"/>
      <c r="AA166" s="2191"/>
      <c r="AB166" s="2191"/>
      <c r="AC166" s="2191"/>
      <c r="AD166" s="2191"/>
      <c r="AE166" s="2191"/>
      <c r="AF166" s="2191"/>
      <c r="AG166" s="2191"/>
      <c r="AH166" s="2191"/>
      <c r="AI166" s="2191"/>
      <c r="AJ166" s="2191"/>
      <c r="AK166" s="2191"/>
      <c r="AL166" s="2191"/>
      <c r="AM166" s="2605"/>
      <c r="AN166" s="2605"/>
      <c r="AO166" s="2286"/>
    </row>
    <row r="167" spans="1:41" s="339" customFormat="1" ht="117.75" customHeight="1" x14ac:dyDescent="0.2">
      <c r="A167" s="1809"/>
      <c r="C167" s="1783"/>
      <c r="F167" s="1783"/>
      <c r="G167" s="1638" t="s">
        <v>567</v>
      </c>
      <c r="H167" s="1659" t="s">
        <v>1689</v>
      </c>
      <c r="I167" s="1655" t="s">
        <v>1690</v>
      </c>
      <c r="J167" s="1709" t="s">
        <v>1691</v>
      </c>
      <c r="K167" s="1840">
        <v>0.2</v>
      </c>
      <c r="L167" s="2206"/>
      <c r="M167" s="2646"/>
      <c r="N167" s="2313"/>
      <c r="O167" s="665">
        <f>(T167)/(P161)</f>
        <v>0.33444816053511706</v>
      </c>
      <c r="P167" s="2638"/>
      <c r="Q167" s="2313"/>
      <c r="R167" s="2313"/>
      <c r="S167" s="1811" t="s">
        <v>1690</v>
      </c>
      <c r="T167" s="1939">
        <v>10000000</v>
      </c>
      <c r="U167" s="1792">
        <v>88</v>
      </c>
      <c r="V167" s="1657" t="s">
        <v>466</v>
      </c>
      <c r="W167" s="2191"/>
      <c r="X167" s="2257"/>
      <c r="Y167" s="2257"/>
      <c r="Z167" s="2257"/>
      <c r="AA167" s="2257"/>
      <c r="AB167" s="2257"/>
      <c r="AC167" s="2257"/>
      <c r="AD167" s="2257"/>
      <c r="AE167" s="2257"/>
      <c r="AF167" s="2257"/>
      <c r="AG167" s="2257"/>
      <c r="AH167" s="2257"/>
      <c r="AI167" s="2257"/>
      <c r="AJ167" s="2257"/>
      <c r="AK167" s="2257"/>
      <c r="AL167" s="2257"/>
      <c r="AM167" s="2606"/>
      <c r="AN167" s="2606"/>
      <c r="AO167" s="2313"/>
    </row>
    <row r="168" spans="1:41" s="339" customFormat="1" ht="45.75" customHeight="1" x14ac:dyDescent="0.2">
      <c r="A168" s="2607"/>
      <c r="B168" s="2608"/>
      <c r="C168" s="2609"/>
      <c r="D168" s="2610"/>
      <c r="E168" s="2608"/>
      <c r="F168" s="2609"/>
      <c r="G168" s="2614">
        <v>4502001</v>
      </c>
      <c r="H168" s="2617" t="s">
        <v>1656</v>
      </c>
      <c r="I168" s="2247" t="s">
        <v>945</v>
      </c>
      <c r="J168" s="2623" t="s">
        <v>1657</v>
      </c>
      <c r="K168" s="2180">
        <v>3</v>
      </c>
      <c r="L168" s="2326" t="s">
        <v>1692</v>
      </c>
      <c r="M168" s="2190" t="s">
        <v>1693</v>
      </c>
      <c r="N168" s="2285" t="s">
        <v>1694</v>
      </c>
      <c r="O168" s="2624">
        <f>SUM(T168:T173)/P168</f>
        <v>1</v>
      </c>
      <c r="P168" s="2626">
        <f>SUM(T168:T173)</f>
        <v>22000000</v>
      </c>
      <c r="Q168" s="2285" t="s">
        <v>1682</v>
      </c>
      <c r="R168" s="2285" t="s">
        <v>1695</v>
      </c>
      <c r="S168" s="2628" t="s">
        <v>1696</v>
      </c>
      <c r="T168" s="1939">
        <v>12000000</v>
      </c>
      <c r="U168" s="1839">
        <v>88</v>
      </c>
      <c r="V168" s="1632" t="s">
        <v>466</v>
      </c>
      <c r="W168" s="2319">
        <v>357</v>
      </c>
      <c r="X168" s="2620">
        <v>343</v>
      </c>
      <c r="Y168" s="2601">
        <v>0</v>
      </c>
      <c r="Z168" s="2601">
        <v>0</v>
      </c>
      <c r="AA168" s="2601">
        <v>700</v>
      </c>
      <c r="AB168" s="2601">
        <v>0</v>
      </c>
      <c r="AC168" s="2601">
        <v>0</v>
      </c>
      <c r="AD168" s="2601">
        <v>0</v>
      </c>
      <c r="AE168" s="2601">
        <v>0</v>
      </c>
      <c r="AF168" s="2601">
        <v>0</v>
      </c>
      <c r="AG168" s="2601">
        <v>0</v>
      </c>
      <c r="AH168" s="2601">
        <v>0</v>
      </c>
      <c r="AI168" s="2601">
        <v>0</v>
      </c>
      <c r="AJ168" s="2601">
        <v>0</v>
      </c>
      <c r="AK168" s="2601">
        <v>0</v>
      </c>
      <c r="AL168" s="2601">
        <f>W168+X168</f>
        <v>700</v>
      </c>
      <c r="AM168" s="2604">
        <v>44061</v>
      </c>
      <c r="AN168" s="2604">
        <v>44195</v>
      </c>
      <c r="AO168" s="2190" t="s">
        <v>1486</v>
      </c>
    </row>
    <row r="169" spans="1:41" s="339" customFormat="1" ht="45.75" customHeight="1" x14ac:dyDescent="0.2">
      <c r="A169" s="2607"/>
      <c r="B169" s="2608"/>
      <c r="C169" s="2609"/>
      <c r="D169" s="2610"/>
      <c r="E169" s="2608"/>
      <c r="F169" s="2609"/>
      <c r="G169" s="2615"/>
      <c r="H169" s="2618"/>
      <c r="I169" s="2247"/>
      <c r="J169" s="2623"/>
      <c r="K169" s="2180"/>
      <c r="L169" s="2326"/>
      <c r="M169" s="2191"/>
      <c r="N169" s="2286"/>
      <c r="O169" s="2625"/>
      <c r="P169" s="2627"/>
      <c r="Q169" s="2286"/>
      <c r="R169" s="2286"/>
      <c r="S169" s="2629"/>
      <c r="T169" s="1939">
        <v>4000000</v>
      </c>
      <c r="U169" s="1839">
        <v>20</v>
      </c>
      <c r="V169" s="1632" t="s">
        <v>1697</v>
      </c>
      <c r="W169" s="2571"/>
      <c r="X169" s="2621"/>
      <c r="Y169" s="2602"/>
      <c r="Z169" s="2602"/>
      <c r="AA169" s="2602"/>
      <c r="AB169" s="2602"/>
      <c r="AC169" s="2602"/>
      <c r="AD169" s="2602"/>
      <c r="AE169" s="2602"/>
      <c r="AF169" s="2602"/>
      <c r="AG169" s="2602"/>
      <c r="AH169" s="2602"/>
      <c r="AI169" s="2602"/>
      <c r="AJ169" s="2602"/>
      <c r="AK169" s="2602"/>
      <c r="AL169" s="2602"/>
      <c r="AM169" s="2605"/>
      <c r="AN169" s="2605"/>
      <c r="AO169" s="2191"/>
    </row>
    <row r="170" spans="1:41" s="339" customFormat="1" ht="45.75" customHeight="1" x14ac:dyDescent="0.2">
      <c r="A170" s="2607"/>
      <c r="B170" s="2608"/>
      <c r="C170" s="2609"/>
      <c r="D170" s="2610"/>
      <c r="E170" s="2608"/>
      <c r="F170" s="2609"/>
      <c r="G170" s="2615"/>
      <c r="H170" s="2618"/>
      <c r="I170" s="2247"/>
      <c r="J170" s="2623"/>
      <c r="K170" s="2180"/>
      <c r="L170" s="2326"/>
      <c r="M170" s="2191"/>
      <c r="N170" s="2286"/>
      <c r="O170" s="2625"/>
      <c r="P170" s="2627"/>
      <c r="Q170" s="2286"/>
      <c r="R170" s="2286"/>
      <c r="S170" s="1383" t="s">
        <v>1698</v>
      </c>
      <c r="T170" s="1942">
        <v>0</v>
      </c>
      <c r="U170" s="1839"/>
      <c r="V170" s="1632"/>
      <c r="W170" s="2571"/>
      <c r="X170" s="2621"/>
      <c r="Y170" s="2602"/>
      <c r="Z170" s="2602"/>
      <c r="AA170" s="2602"/>
      <c r="AB170" s="2602"/>
      <c r="AC170" s="2602"/>
      <c r="AD170" s="2602"/>
      <c r="AE170" s="2602"/>
      <c r="AF170" s="2602"/>
      <c r="AG170" s="2602"/>
      <c r="AH170" s="2602"/>
      <c r="AI170" s="2602"/>
      <c r="AJ170" s="2602"/>
      <c r="AK170" s="2602"/>
      <c r="AL170" s="2602"/>
      <c r="AM170" s="2605"/>
      <c r="AN170" s="2605"/>
      <c r="AO170" s="2191"/>
    </row>
    <row r="171" spans="1:41" s="339" customFormat="1" ht="98.25" customHeight="1" x14ac:dyDescent="0.2">
      <c r="A171" s="2607"/>
      <c r="B171" s="2608"/>
      <c r="C171" s="2609"/>
      <c r="D171" s="2610"/>
      <c r="E171" s="2608"/>
      <c r="F171" s="2609"/>
      <c r="G171" s="2615"/>
      <c r="H171" s="2618"/>
      <c r="I171" s="2247"/>
      <c r="J171" s="2623"/>
      <c r="K171" s="2180"/>
      <c r="L171" s="2326"/>
      <c r="M171" s="2191"/>
      <c r="N171" s="2286"/>
      <c r="O171" s="2625"/>
      <c r="P171" s="2627"/>
      <c r="Q171" s="2286"/>
      <c r="R171" s="2286"/>
      <c r="S171" s="1383" t="s">
        <v>1699</v>
      </c>
      <c r="T171" s="1939">
        <v>4000000</v>
      </c>
      <c r="U171" s="1839">
        <v>88</v>
      </c>
      <c r="V171" s="1632" t="s">
        <v>466</v>
      </c>
      <c r="W171" s="2571"/>
      <c r="X171" s="2621"/>
      <c r="Y171" s="2602"/>
      <c r="Z171" s="2602"/>
      <c r="AA171" s="2602"/>
      <c r="AB171" s="2602"/>
      <c r="AC171" s="2602"/>
      <c r="AD171" s="2602"/>
      <c r="AE171" s="2602"/>
      <c r="AF171" s="2602"/>
      <c r="AG171" s="2602"/>
      <c r="AH171" s="2602"/>
      <c r="AI171" s="2602"/>
      <c r="AJ171" s="2602"/>
      <c r="AK171" s="2602"/>
      <c r="AL171" s="2602"/>
      <c r="AM171" s="2605"/>
      <c r="AN171" s="2605"/>
      <c r="AO171" s="2191"/>
    </row>
    <row r="172" spans="1:41" s="339" customFormat="1" ht="83.25" customHeight="1" x14ac:dyDescent="0.2">
      <c r="A172" s="2607"/>
      <c r="B172" s="2608"/>
      <c r="C172" s="2609"/>
      <c r="D172" s="2610"/>
      <c r="E172" s="2608"/>
      <c r="F172" s="2609"/>
      <c r="G172" s="2615"/>
      <c r="H172" s="2618"/>
      <c r="I172" s="2247"/>
      <c r="J172" s="2623"/>
      <c r="K172" s="2180"/>
      <c r="L172" s="2326"/>
      <c r="M172" s="2191"/>
      <c r="N172" s="2286"/>
      <c r="O172" s="2625"/>
      <c r="P172" s="2627"/>
      <c r="Q172" s="2286"/>
      <c r="R172" s="2286"/>
      <c r="S172" s="1383" t="s">
        <v>1700</v>
      </c>
      <c r="T172" s="1939">
        <v>2000000</v>
      </c>
      <c r="U172" s="1839">
        <v>88</v>
      </c>
      <c r="V172" s="1632" t="s">
        <v>466</v>
      </c>
      <c r="W172" s="2571"/>
      <c r="X172" s="2621"/>
      <c r="Y172" s="2602"/>
      <c r="Z172" s="2602"/>
      <c r="AA172" s="2602"/>
      <c r="AB172" s="2602"/>
      <c r="AC172" s="2602"/>
      <c r="AD172" s="2602"/>
      <c r="AE172" s="2602"/>
      <c r="AF172" s="2602"/>
      <c r="AG172" s="2602"/>
      <c r="AH172" s="2602"/>
      <c r="AI172" s="2602"/>
      <c r="AJ172" s="2602"/>
      <c r="AK172" s="2602"/>
      <c r="AL172" s="2602"/>
      <c r="AM172" s="2605"/>
      <c r="AN172" s="2605"/>
      <c r="AO172" s="2191"/>
    </row>
    <row r="173" spans="1:41" s="339" customFormat="1" ht="45.75" customHeight="1" x14ac:dyDescent="0.2">
      <c r="A173" s="2607"/>
      <c r="B173" s="2608"/>
      <c r="C173" s="2609"/>
      <c r="D173" s="2611"/>
      <c r="E173" s="2612"/>
      <c r="F173" s="2613"/>
      <c r="G173" s="2616"/>
      <c r="H173" s="2619"/>
      <c r="I173" s="2321"/>
      <c r="J173" s="2474"/>
      <c r="K173" s="2180"/>
      <c r="L173" s="2326"/>
      <c r="M173" s="2191"/>
      <c r="N173" s="2286"/>
      <c r="O173" s="2625"/>
      <c r="P173" s="2627"/>
      <c r="Q173" s="2286"/>
      <c r="R173" s="2286"/>
      <c r="S173" s="1668" t="s">
        <v>1701</v>
      </c>
      <c r="T173" s="1955">
        <v>0</v>
      </c>
      <c r="U173" s="1689"/>
      <c r="V173" s="1644"/>
      <c r="W173" s="2571"/>
      <c r="X173" s="2621"/>
      <c r="Y173" s="2602"/>
      <c r="Z173" s="2602"/>
      <c r="AA173" s="2602"/>
      <c r="AB173" s="2602"/>
      <c r="AC173" s="2602"/>
      <c r="AD173" s="2602"/>
      <c r="AE173" s="2603"/>
      <c r="AF173" s="2603"/>
      <c r="AG173" s="2603"/>
      <c r="AH173" s="2603"/>
      <c r="AI173" s="2603"/>
      <c r="AJ173" s="2603"/>
      <c r="AK173" s="2603"/>
      <c r="AL173" s="2603"/>
      <c r="AM173" s="2606"/>
      <c r="AN173" s="2606"/>
      <c r="AO173" s="2257"/>
    </row>
    <row r="174" spans="1:41" s="339" customFormat="1" ht="31.5" customHeight="1" x14ac:dyDescent="0.2">
      <c r="A174" s="1829"/>
      <c r="B174" s="1841"/>
      <c r="C174" s="1842"/>
      <c r="D174" s="1843"/>
      <c r="E174" s="1843"/>
      <c r="F174" s="1844"/>
      <c r="G174" s="1845"/>
      <c r="H174" s="1846"/>
      <c r="I174" s="1660"/>
      <c r="J174" s="1660"/>
      <c r="K174" s="1890"/>
      <c r="L174" s="1691"/>
      <c r="M174" s="1847"/>
      <c r="N174" s="1660"/>
      <c r="O174" s="1848"/>
      <c r="P174" s="1937">
        <f>SUM(P11:P173)</f>
        <v>3830220594.3100004</v>
      </c>
      <c r="Q174" s="1653"/>
      <c r="R174" s="1653"/>
      <c r="S174" s="1849"/>
      <c r="T174" s="1937">
        <f>SUM(T9:T173)</f>
        <v>3830220594.3100004</v>
      </c>
      <c r="U174" s="1850"/>
      <c r="V174" s="1660"/>
      <c r="W174" s="1851"/>
      <c r="X174" s="1851"/>
      <c r="Y174" s="1851"/>
      <c r="Z174" s="1851"/>
      <c r="AA174" s="1851"/>
      <c r="AB174" s="1851"/>
      <c r="AC174" s="1851"/>
      <c r="AD174" s="1851"/>
      <c r="AE174" s="1852"/>
      <c r="AF174" s="1845"/>
      <c r="AG174" s="1845"/>
      <c r="AH174" s="1845"/>
      <c r="AI174" s="1845"/>
      <c r="AJ174" s="1845"/>
      <c r="AK174" s="1845"/>
      <c r="AL174" s="1845"/>
      <c r="AM174" s="1853"/>
      <c r="AN174" s="1854"/>
      <c r="AO174" s="1855"/>
    </row>
    <row r="175" spans="1:41" s="339" customFormat="1" ht="27" customHeight="1" x14ac:dyDescent="0.2">
      <c r="A175" s="1777"/>
      <c r="G175" s="1430"/>
      <c r="H175" s="1430"/>
      <c r="I175" s="1796"/>
      <c r="J175" s="1796"/>
      <c r="K175" s="1427"/>
      <c r="L175" s="1748"/>
      <c r="M175" s="1426"/>
      <c r="N175" s="1796"/>
      <c r="O175" s="1856"/>
      <c r="P175" s="1857"/>
      <c r="Q175" s="1796"/>
      <c r="R175" s="1796"/>
      <c r="S175" s="1858"/>
      <c r="T175" s="1859"/>
      <c r="U175" s="1860"/>
      <c r="V175" s="1796"/>
      <c r="W175" s="1430"/>
      <c r="X175" s="1430"/>
      <c r="Y175" s="1430"/>
      <c r="Z175" s="1430"/>
      <c r="AA175" s="1430"/>
      <c r="AB175" s="1430"/>
      <c r="AC175" s="1430"/>
      <c r="AD175" s="1430"/>
      <c r="AE175" s="1430"/>
      <c r="AF175" s="1430"/>
      <c r="AG175" s="1430"/>
      <c r="AH175" s="1430"/>
      <c r="AI175" s="1430"/>
      <c r="AJ175" s="1430"/>
      <c r="AK175" s="1430"/>
      <c r="AL175" s="1430"/>
      <c r="AM175" s="1861"/>
      <c r="AN175" s="1862"/>
      <c r="AO175" s="1863"/>
    </row>
    <row r="176" spans="1:41" s="339" customFormat="1" ht="27" customHeight="1" x14ac:dyDescent="0.25">
      <c r="A176" s="1777"/>
      <c r="G176" s="1430"/>
      <c r="H176" s="1430"/>
      <c r="I176" s="1796"/>
      <c r="J176" s="1796"/>
      <c r="K176" s="1427"/>
      <c r="L176" s="1748"/>
      <c r="M176" s="1426"/>
      <c r="N176" s="1611"/>
      <c r="O176" s="1864"/>
      <c r="P176" s="1865"/>
      <c r="Q176" s="1611"/>
      <c r="R176" s="1611"/>
      <c r="S176" s="1866"/>
      <c r="T176" s="1859"/>
      <c r="U176" s="1859"/>
      <c r="V176" s="1867"/>
      <c r="W176" s="1430"/>
      <c r="X176" s="1430"/>
      <c r="Y176" s="1430"/>
      <c r="Z176" s="1430"/>
      <c r="AA176" s="1430"/>
      <c r="AB176" s="1430"/>
      <c r="AC176" s="1430"/>
      <c r="AD176" s="1430"/>
      <c r="AE176" s="1430"/>
      <c r="AF176" s="1430"/>
      <c r="AG176" s="1430"/>
      <c r="AH176" s="1430"/>
      <c r="AI176" s="1430"/>
      <c r="AJ176" s="1430"/>
      <c r="AK176" s="1430"/>
      <c r="AL176" s="1430"/>
      <c r="AM176" s="1861"/>
      <c r="AN176" s="1862"/>
      <c r="AO176" s="1863"/>
    </row>
    <row r="177" spans="1:41" s="339" customFormat="1" ht="27" customHeight="1" x14ac:dyDescent="0.2">
      <c r="A177" s="1777"/>
      <c r="G177" s="1430"/>
      <c r="H177" s="1430"/>
      <c r="I177" s="1796"/>
      <c r="J177" s="1796"/>
      <c r="K177" s="1427"/>
      <c r="L177" s="1748"/>
      <c r="M177" s="1426"/>
      <c r="N177" s="1866"/>
      <c r="O177" s="1864"/>
      <c r="P177" s="1868"/>
      <c r="Q177" s="1611"/>
      <c r="R177" s="1611"/>
      <c r="S177" s="1866"/>
      <c r="T177" s="1859"/>
      <c r="U177" s="1859"/>
      <c r="V177" s="1796"/>
      <c r="W177" s="1430"/>
      <c r="X177" s="1430"/>
      <c r="Y177" s="1430"/>
      <c r="Z177" s="1430"/>
      <c r="AA177" s="1430"/>
      <c r="AB177" s="1430"/>
      <c r="AC177" s="1430"/>
      <c r="AD177" s="1430"/>
      <c r="AE177" s="1430"/>
      <c r="AF177" s="1430"/>
      <c r="AG177" s="1430"/>
      <c r="AH177" s="1430"/>
      <c r="AI177" s="1430"/>
      <c r="AJ177" s="1430"/>
      <c r="AK177" s="1430"/>
      <c r="AL177" s="1430"/>
      <c r="AM177" s="1861"/>
      <c r="AN177" s="1862"/>
      <c r="AO177" s="1863"/>
    </row>
    <row r="178" spans="1:41" s="339" customFormat="1" ht="27" customHeight="1" x14ac:dyDescent="0.2">
      <c r="A178" s="1856"/>
      <c r="B178" s="1869"/>
      <c r="C178" s="1870"/>
      <c r="D178" s="1830"/>
      <c r="E178" s="1830"/>
      <c r="F178" s="1830"/>
      <c r="G178" s="1871"/>
      <c r="H178" s="1430"/>
      <c r="I178" s="1796"/>
      <c r="J178" s="1796"/>
      <c r="K178" s="1427"/>
      <c r="L178" s="1748"/>
      <c r="M178" s="1426"/>
      <c r="N178" s="1796"/>
      <c r="O178" s="1856"/>
      <c r="P178" s="1857"/>
      <c r="Q178" s="1796"/>
      <c r="R178" s="1796"/>
      <c r="S178" s="1858"/>
      <c r="T178" s="1859"/>
      <c r="U178" s="1859"/>
      <c r="V178" s="1796"/>
      <c r="W178" s="1430"/>
      <c r="X178" s="1430"/>
      <c r="Y178" s="1430"/>
      <c r="Z178" s="1430"/>
      <c r="AA178" s="1430"/>
      <c r="AB178" s="1430"/>
      <c r="AC178" s="1430"/>
      <c r="AD178" s="1430"/>
      <c r="AE178" s="1430"/>
      <c r="AF178" s="1430"/>
      <c r="AG178" s="1430"/>
      <c r="AH178" s="1430"/>
      <c r="AI178" s="1430"/>
      <c r="AJ178" s="1430"/>
      <c r="AK178" s="1430"/>
      <c r="AL178" s="1430"/>
      <c r="AM178" s="1861"/>
      <c r="AN178" s="1862"/>
      <c r="AO178" s="1863"/>
    </row>
    <row r="179" spans="1:41" s="339" customFormat="1" ht="27" customHeight="1" x14ac:dyDescent="0.25">
      <c r="A179" s="1856"/>
      <c r="B179" s="1872" t="s">
        <v>1702</v>
      </c>
      <c r="C179" s="1873"/>
      <c r="G179" s="1430"/>
      <c r="H179" s="1430"/>
      <c r="I179" s="1796"/>
      <c r="J179" s="1796"/>
      <c r="K179" s="1427"/>
      <c r="L179" s="1748"/>
      <c r="M179" s="1426"/>
      <c r="N179" s="1796"/>
      <c r="O179" s="1856"/>
      <c r="P179" s="1857"/>
      <c r="Q179" s="1796"/>
      <c r="R179" s="1796"/>
      <c r="S179" s="1858"/>
      <c r="T179" s="1859"/>
      <c r="U179" s="1859"/>
      <c r="V179" s="1796"/>
      <c r="W179" s="1430"/>
      <c r="X179" s="1430"/>
      <c r="Y179" s="1430"/>
      <c r="Z179" s="1430"/>
      <c r="AA179" s="1430"/>
      <c r="AB179" s="1430"/>
      <c r="AC179" s="1430"/>
      <c r="AD179" s="1430"/>
      <c r="AE179" s="1430"/>
      <c r="AF179" s="1430"/>
      <c r="AG179" s="1430"/>
      <c r="AH179" s="1430"/>
      <c r="AI179" s="1430"/>
      <c r="AJ179" s="1430"/>
      <c r="AK179" s="1430"/>
      <c r="AL179" s="1430"/>
      <c r="AM179" s="1861"/>
      <c r="AN179" s="1862"/>
      <c r="AO179" s="1863"/>
    </row>
    <row r="180" spans="1:41" s="339" customFormat="1" ht="24" customHeight="1" x14ac:dyDescent="0.25">
      <c r="A180" s="1856"/>
      <c r="B180" s="1872" t="s">
        <v>1703</v>
      </c>
      <c r="C180" s="1873"/>
      <c r="G180" s="1430"/>
      <c r="H180" s="1430"/>
      <c r="I180" s="1796"/>
      <c r="J180" s="1796"/>
      <c r="K180" s="1427"/>
      <c r="L180" s="1748"/>
      <c r="M180" s="1426"/>
      <c r="N180" s="1796"/>
      <c r="O180" s="1856"/>
      <c r="P180" s="1857"/>
      <c r="Q180" s="1796"/>
      <c r="R180" s="1796"/>
      <c r="S180" s="1858"/>
      <c r="T180" s="1859"/>
      <c r="U180" s="1859"/>
      <c r="V180" s="1796"/>
      <c r="W180" s="1430"/>
      <c r="X180" s="1430"/>
      <c r="Y180" s="1430"/>
      <c r="Z180" s="1430"/>
      <c r="AA180" s="1430"/>
      <c r="AB180" s="1430"/>
      <c r="AC180" s="1430"/>
      <c r="AD180" s="1430"/>
      <c r="AE180" s="1430"/>
      <c r="AF180" s="1430"/>
      <c r="AG180" s="1430"/>
      <c r="AH180" s="1430"/>
      <c r="AI180" s="1430"/>
      <c r="AJ180" s="1430"/>
      <c r="AK180" s="1430"/>
      <c r="AL180" s="1430"/>
      <c r="AM180" s="1861"/>
      <c r="AN180" s="1862"/>
      <c r="AO180" s="1863"/>
    </row>
    <row r="181" spans="1:41" s="339" customFormat="1" ht="27" customHeight="1" x14ac:dyDescent="0.2">
      <c r="A181" s="1856"/>
      <c r="B181" s="1874"/>
      <c r="C181" s="1873"/>
      <c r="G181" s="1430"/>
      <c r="H181" s="1430"/>
      <c r="I181" s="1796"/>
      <c r="J181" s="1796"/>
      <c r="K181" s="1427"/>
      <c r="L181" s="1748"/>
      <c r="M181" s="1426"/>
      <c r="N181" s="1796"/>
      <c r="O181" s="1856"/>
      <c r="P181" s="1857"/>
      <c r="Q181" s="1796"/>
      <c r="R181" s="1796"/>
      <c r="S181" s="1858"/>
      <c r="T181" s="1868"/>
      <c r="U181" s="1860"/>
      <c r="V181" s="1796"/>
      <c r="W181" s="1430"/>
      <c r="X181" s="1430"/>
      <c r="Y181" s="1430"/>
      <c r="Z181" s="1430"/>
      <c r="AA181" s="1430"/>
      <c r="AB181" s="1430"/>
      <c r="AC181" s="1430"/>
      <c r="AD181" s="1430"/>
      <c r="AE181" s="1430"/>
      <c r="AF181" s="1430"/>
      <c r="AG181" s="1430"/>
      <c r="AH181" s="1430"/>
      <c r="AI181" s="1430"/>
      <c r="AJ181" s="1430"/>
      <c r="AK181" s="1430"/>
      <c r="AL181" s="1430"/>
      <c r="AM181" s="1861"/>
      <c r="AN181" s="1862"/>
      <c r="AO181" s="1863"/>
    </row>
    <row r="182" spans="1:41" x14ac:dyDescent="0.2">
      <c r="T182" s="1884"/>
    </row>
  </sheetData>
  <sheetProtection password="A60F" sheet="1" objects="1" scenarios="1"/>
  <mergeCells count="601">
    <mergeCell ref="A1:AM4"/>
    <mergeCell ref="A5:K6"/>
    <mergeCell ref="L5:AO5"/>
    <mergeCell ref="W6:AL6"/>
    <mergeCell ref="A7:A8"/>
    <mergeCell ref="B7:C8"/>
    <mergeCell ref="D7:D8"/>
    <mergeCell ref="E7:F8"/>
    <mergeCell ref="G7:G8"/>
    <mergeCell ref="H7:H8"/>
    <mergeCell ref="AN7:AN8"/>
    <mergeCell ref="AO7:AO8"/>
    <mergeCell ref="Y7:AB7"/>
    <mergeCell ref="AC7:AH7"/>
    <mergeCell ref="AI7:AK7"/>
    <mergeCell ref="AM7:AM8"/>
    <mergeCell ref="D11:D17"/>
    <mergeCell ref="E11:E17"/>
    <mergeCell ref="F11:F17"/>
    <mergeCell ref="G11:G17"/>
    <mergeCell ref="H11:H17"/>
    <mergeCell ref="I11:I17"/>
    <mergeCell ref="J11:J17"/>
    <mergeCell ref="V7:V8"/>
    <mergeCell ref="W7:X7"/>
    <mergeCell ref="O7:O8"/>
    <mergeCell ref="P7:P8"/>
    <mergeCell ref="Q7:Q8"/>
    <mergeCell ref="R7:R8"/>
    <mergeCell ref="S7:S8"/>
    <mergeCell ref="U7:U8"/>
    <mergeCell ref="I7:I8"/>
    <mergeCell ref="J7:J8"/>
    <mergeCell ref="S11:S12"/>
    <mergeCell ref="W11:W17"/>
    <mergeCell ref="X11:X17"/>
    <mergeCell ref="K7:K8"/>
    <mergeCell ref="L7:L8"/>
    <mergeCell ref="M7:M8"/>
    <mergeCell ref="N7:N8"/>
    <mergeCell ref="Y11:Y17"/>
    <mergeCell ref="K11:K17"/>
    <mergeCell ref="L11:L17"/>
    <mergeCell ref="M11:M17"/>
    <mergeCell ref="N11:N17"/>
    <mergeCell ref="O11:O17"/>
    <mergeCell ref="P11:P17"/>
    <mergeCell ref="AL11:AL17"/>
    <mergeCell ref="AM11:AM17"/>
    <mergeCell ref="AN11:AN17"/>
    <mergeCell ref="AO11:AO17"/>
    <mergeCell ref="G19:G20"/>
    <mergeCell ref="H19:H20"/>
    <mergeCell ref="I19:I20"/>
    <mergeCell ref="J19:J20"/>
    <mergeCell ref="K19:K20"/>
    <mergeCell ref="L19:L20"/>
    <mergeCell ref="AF11:AF17"/>
    <mergeCell ref="AG11:AG17"/>
    <mergeCell ref="AH11:AH17"/>
    <mergeCell ref="AI11:AI17"/>
    <mergeCell ref="AJ11:AJ17"/>
    <mergeCell ref="AK11:AK17"/>
    <mergeCell ref="Z11:Z17"/>
    <mergeCell ref="AA11:AA17"/>
    <mergeCell ref="AB11:AB17"/>
    <mergeCell ref="AC11:AC17"/>
    <mergeCell ref="AD11:AD17"/>
    <mergeCell ref="AE11:AE17"/>
    <mergeCell ref="Q11:Q17"/>
    <mergeCell ref="R11:R17"/>
    <mergeCell ref="AG19:AG20"/>
    <mergeCell ref="AH19:AH20"/>
    <mergeCell ref="W19:W20"/>
    <mergeCell ref="X19:X20"/>
    <mergeCell ref="Y19:Y20"/>
    <mergeCell ref="Z19:Z20"/>
    <mergeCell ref="AA19:AA20"/>
    <mergeCell ref="AB19:AB20"/>
    <mergeCell ref="M19:M20"/>
    <mergeCell ref="N19:N20"/>
    <mergeCell ref="O19:O20"/>
    <mergeCell ref="P19:P20"/>
    <mergeCell ref="Q19:Q20"/>
    <mergeCell ref="R19:R20"/>
    <mergeCell ref="R22:R25"/>
    <mergeCell ref="S22:S23"/>
    <mergeCell ref="W22:W25"/>
    <mergeCell ref="X22:X25"/>
    <mergeCell ref="AO19:AO20"/>
    <mergeCell ref="G22:G25"/>
    <mergeCell ref="H22:H25"/>
    <mergeCell ref="I22:I25"/>
    <mergeCell ref="J22:J25"/>
    <mergeCell ref="K22:K25"/>
    <mergeCell ref="L22:L25"/>
    <mergeCell ref="M22:M25"/>
    <mergeCell ref="N22:N25"/>
    <mergeCell ref="O22:O25"/>
    <mergeCell ref="AI19:AI20"/>
    <mergeCell ref="AJ19:AJ20"/>
    <mergeCell ref="AK19:AK20"/>
    <mergeCell ref="AL19:AL20"/>
    <mergeCell ref="AM19:AM20"/>
    <mergeCell ref="AN19:AN20"/>
    <mergeCell ref="AC19:AC20"/>
    <mergeCell ref="AD19:AD20"/>
    <mergeCell ref="AE19:AE20"/>
    <mergeCell ref="AF19:AF20"/>
    <mergeCell ref="AK22:AK25"/>
    <mergeCell ref="AL22:AL25"/>
    <mergeCell ref="AM22:AM25"/>
    <mergeCell ref="AN22:AN25"/>
    <mergeCell ref="AO22:AO25"/>
    <mergeCell ref="G27:G29"/>
    <mergeCell ref="H27:H29"/>
    <mergeCell ref="I27:I29"/>
    <mergeCell ref="J27:J29"/>
    <mergeCell ref="K27:K29"/>
    <mergeCell ref="AE22:AE25"/>
    <mergeCell ref="AF22:AF25"/>
    <mergeCell ref="AG22:AG25"/>
    <mergeCell ref="AH22:AH25"/>
    <mergeCell ref="AI22:AI25"/>
    <mergeCell ref="AJ22:AJ25"/>
    <mergeCell ref="Y22:Y25"/>
    <mergeCell ref="Z22:Z25"/>
    <mergeCell ref="AA22:AA25"/>
    <mergeCell ref="AB22:AB25"/>
    <mergeCell ref="AC22:AC25"/>
    <mergeCell ref="AD22:AD25"/>
    <mergeCell ref="P22:P25"/>
    <mergeCell ref="Q22:Q25"/>
    <mergeCell ref="X27:X29"/>
    <mergeCell ref="Y27:Y29"/>
    <mergeCell ref="Z27:Z29"/>
    <mergeCell ref="AA27:AA29"/>
    <mergeCell ref="L27:L29"/>
    <mergeCell ref="M27:M29"/>
    <mergeCell ref="N27:N29"/>
    <mergeCell ref="O27:O29"/>
    <mergeCell ref="P27:P29"/>
    <mergeCell ref="Q27:Q29"/>
    <mergeCell ref="AN27:AN29"/>
    <mergeCell ref="AO27:AO29"/>
    <mergeCell ref="D28:D29"/>
    <mergeCell ref="E28:E29"/>
    <mergeCell ref="F28:F29"/>
    <mergeCell ref="D31:F31"/>
    <mergeCell ref="G31:G51"/>
    <mergeCell ref="H31:H51"/>
    <mergeCell ref="I31:I51"/>
    <mergeCell ref="J31:J51"/>
    <mergeCell ref="AH27:AH29"/>
    <mergeCell ref="AI27:AI29"/>
    <mergeCell ref="AJ27:AJ29"/>
    <mergeCell ref="AK27:AK29"/>
    <mergeCell ref="AL27:AL29"/>
    <mergeCell ref="AM27:AM29"/>
    <mergeCell ref="AB27:AB29"/>
    <mergeCell ref="AC27:AC29"/>
    <mergeCell ref="AD27:AD29"/>
    <mergeCell ref="AE27:AE29"/>
    <mergeCell ref="AF27:AF29"/>
    <mergeCell ref="AG27:AG29"/>
    <mergeCell ref="R27:R29"/>
    <mergeCell ref="W27:W29"/>
    <mergeCell ref="AO31:AO76"/>
    <mergeCell ref="S33:S34"/>
    <mergeCell ref="S35:S36"/>
    <mergeCell ref="S37:S38"/>
    <mergeCell ref="S39:S40"/>
    <mergeCell ref="S41:S42"/>
    <mergeCell ref="S43:S44"/>
    <mergeCell ref="AF31:AF76"/>
    <mergeCell ref="AG31:AG76"/>
    <mergeCell ref="AH31:AH76"/>
    <mergeCell ref="AI31:AI76"/>
    <mergeCell ref="AJ31:AJ76"/>
    <mergeCell ref="AK31:AK76"/>
    <mergeCell ref="Z31:Z76"/>
    <mergeCell ref="AA31:AA76"/>
    <mergeCell ref="AB31:AB76"/>
    <mergeCell ref="AC31:AC76"/>
    <mergeCell ref="AD31:AD76"/>
    <mergeCell ref="AE31:AE76"/>
    <mergeCell ref="S31:S32"/>
    <mergeCell ref="W31:W76"/>
    <mergeCell ref="X31:X76"/>
    <mergeCell ref="Y31:Y76"/>
    <mergeCell ref="S45:S46"/>
    <mergeCell ref="D52:F52"/>
    <mergeCell ref="G52:G56"/>
    <mergeCell ref="H52:H56"/>
    <mergeCell ref="I52:I56"/>
    <mergeCell ref="J52:J56"/>
    <mergeCell ref="K52:K56"/>
    <mergeCell ref="AL31:AL76"/>
    <mergeCell ref="AM31:AM76"/>
    <mergeCell ref="AN31:AN76"/>
    <mergeCell ref="Q31:Q76"/>
    <mergeCell ref="R31:R76"/>
    <mergeCell ref="S47:S48"/>
    <mergeCell ref="S50:S51"/>
    <mergeCell ref="S53:S54"/>
    <mergeCell ref="K31:K51"/>
    <mergeCell ref="L31:L76"/>
    <mergeCell ref="M31:M76"/>
    <mergeCell ref="N31:N76"/>
    <mergeCell ref="O31:O51"/>
    <mergeCell ref="P31:P76"/>
    <mergeCell ref="O52:O56"/>
    <mergeCell ref="S58:S59"/>
    <mergeCell ref="S60:S61"/>
    <mergeCell ref="G65:G67"/>
    <mergeCell ref="H65:H67"/>
    <mergeCell ref="I65:I67"/>
    <mergeCell ref="J65:J67"/>
    <mergeCell ref="K65:K67"/>
    <mergeCell ref="O65:O67"/>
    <mergeCell ref="S66:S67"/>
    <mergeCell ref="G57:G64"/>
    <mergeCell ref="H57:H64"/>
    <mergeCell ref="I57:I64"/>
    <mergeCell ref="J57:J64"/>
    <mergeCell ref="K57:K64"/>
    <mergeCell ref="O57:O64"/>
    <mergeCell ref="K78:K80"/>
    <mergeCell ref="L78:L80"/>
    <mergeCell ref="M78:M80"/>
    <mergeCell ref="S68:S69"/>
    <mergeCell ref="S72:S73"/>
    <mergeCell ref="S75:S76"/>
    <mergeCell ref="A77:A80"/>
    <mergeCell ref="B77:B80"/>
    <mergeCell ref="C77:C80"/>
    <mergeCell ref="D78:D80"/>
    <mergeCell ref="E78:E80"/>
    <mergeCell ref="F78:F80"/>
    <mergeCell ref="G78:G80"/>
    <mergeCell ref="G68:G76"/>
    <mergeCell ref="H68:H76"/>
    <mergeCell ref="I68:I76"/>
    <mergeCell ref="J68:J76"/>
    <mergeCell ref="K68:K76"/>
    <mergeCell ref="O68:O76"/>
    <mergeCell ref="AM78:AM80"/>
    <mergeCell ref="AN78:AN80"/>
    <mergeCell ref="AO78:AO80"/>
    <mergeCell ref="AD78:AD80"/>
    <mergeCell ref="AE78:AE80"/>
    <mergeCell ref="AF78:AF80"/>
    <mergeCell ref="AG78:AG80"/>
    <mergeCell ref="AH78:AH80"/>
    <mergeCell ref="AI78:AI80"/>
    <mergeCell ref="G82:G97"/>
    <mergeCell ref="H82:H97"/>
    <mergeCell ref="I82:I97"/>
    <mergeCell ref="J82:J97"/>
    <mergeCell ref="K82:K97"/>
    <mergeCell ref="L82:L97"/>
    <mergeCell ref="AJ78:AJ80"/>
    <mergeCell ref="AK78:AK80"/>
    <mergeCell ref="AL78:AL80"/>
    <mergeCell ref="X78:X80"/>
    <mergeCell ref="Y78:Y80"/>
    <mergeCell ref="Z78:Z80"/>
    <mergeCell ref="AA78:AA80"/>
    <mergeCell ref="AB78:AB80"/>
    <mergeCell ref="AC78:AC80"/>
    <mergeCell ref="N78:N80"/>
    <mergeCell ref="O78:O80"/>
    <mergeCell ref="P78:P80"/>
    <mergeCell ref="Q78:Q80"/>
    <mergeCell ref="R78:R80"/>
    <mergeCell ref="W78:W80"/>
    <mergeCell ref="H78:H80"/>
    <mergeCell ref="I78:I80"/>
    <mergeCell ref="J78:J80"/>
    <mergeCell ref="Y82:Y97"/>
    <mergeCell ref="Z82:Z97"/>
    <mergeCell ref="AA82:AA97"/>
    <mergeCell ref="AB82:AB97"/>
    <mergeCell ref="M82:M97"/>
    <mergeCell ref="N82:N97"/>
    <mergeCell ref="O82:O97"/>
    <mergeCell ref="P82:P97"/>
    <mergeCell ref="Q82:Q97"/>
    <mergeCell ref="R82:R97"/>
    <mergeCell ref="AO82:AO97"/>
    <mergeCell ref="S83:S84"/>
    <mergeCell ref="S90:S91"/>
    <mergeCell ref="S92:S93"/>
    <mergeCell ref="S96:S97"/>
    <mergeCell ref="G98:G109"/>
    <mergeCell ref="H98:H109"/>
    <mergeCell ref="I98:I109"/>
    <mergeCell ref="J98:J109"/>
    <mergeCell ref="K98:K109"/>
    <mergeCell ref="AI82:AI97"/>
    <mergeCell ref="AJ82:AJ97"/>
    <mergeCell ref="AK82:AK97"/>
    <mergeCell ref="AL82:AL97"/>
    <mergeCell ref="AM82:AM97"/>
    <mergeCell ref="AN82:AN97"/>
    <mergeCell ref="AC82:AC97"/>
    <mergeCell ref="AD82:AD97"/>
    <mergeCell ref="AE82:AE97"/>
    <mergeCell ref="AF82:AF97"/>
    <mergeCell ref="AG82:AG97"/>
    <mergeCell ref="AH82:AH97"/>
    <mergeCell ref="W82:W97"/>
    <mergeCell ref="X82:X97"/>
    <mergeCell ref="R98:R109"/>
    <mergeCell ref="W98:W109"/>
    <mergeCell ref="X98:X109"/>
    <mergeCell ref="Y98:Y109"/>
    <mergeCell ref="Z98:Z109"/>
    <mergeCell ref="AA98:AA109"/>
    <mergeCell ref="L98:L109"/>
    <mergeCell ref="M98:M109"/>
    <mergeCell ref="N98:N109"/>
    <mergeCell ref="O98:O109"/>
    <mergeCell ref="P98:P109"/>
    <mergeCell ref="Q98:Q109"/>
    <mergeCell ref="G110:G113"/>
    <mergeCell ref="H110:H113"/>
    <mergeCell ref="I110:I113"/>
    <mergeCell ref="J110:J113"/>
    <mergeCell ref="K110:K113"/>
    <mergeCell ref="L110:L113"/>
    <mergeCell ref="AN98:AN109"/>
    <mergeCell ref="AO98:AO109"/>
    <mergeCell ref="S100:S101"/>
    <mergeCell ref="S103:S104"/>
    <mergeCell ref="S105:S106"/>
    <mergeCell ref="S107:S108"/>
    <mergeCell ref="AH98:AH109"/>
    <mergeCell ref="AI98:AI109"/>
    <mergeCell ref="AJ98:AJ109"/>
    <mergeCell ref="AK98:AK109"/>
    <mergeCell ref="AL98:AL109"/>
    <mergeCell ref="AM98:AM109"/>
    <mergeCell ref="AB98:AB109"/>
    <mergeCell ref="AC98:AC109"/>
    <mergeCell ref="AD98:AD109"/>
    <mergeCell ref="AE98:AE109"/>
    <mergeCell ref="AF98:AF109"/>
    <mergeCell ref="AG98:AG109"/>
    <mergeCell ref="Y110:Y113"/>
    <mergeCell ref="Z110:Z113"/>
    <mergeCell ref="AA110:AA113"/>
    <mergeCell ref="AB110:AB113"/>
    <mergeCell ref="M110:M113"/>
    <mergeCell ref="N110:N113"/>
    <mergeCell ref="O110:O113"/>
    <mergeCell ref="P110:P113"/>
    <mergeCell ref="Q110:Q113"/>
    <mergeCell ref="R110:R113"/>
    <mergeCell ref="AO110:AO113"/>
    <mergeCell ref="D116:F117"/>
    <mergeCell ref="L116:L117"/>
    <mergeCell ref="M116:M117"/>
    <mergeCell ref="N116:N117"/>
    <mergeCell ref="O116:O117"/>
    <mergeCell ref="P116:P117"/>
    <mergeCell ref="Q116:Q117"/>
    <mergeCell ref="R116:R117"/>
    <mergeCell ref="W116:W117"/>
    <mergeCell ref="AI110:AI113"/>
    <mergeCell ref="AJ110:AJ113"/>
    <mergeCell ref="AK110:AK113"/>
    <mergeCell ref="AL110:AL113"/>
    <mergeCell ref="AM110:AM113"/>
    <mergeCell ref="AN110:AN113"/>
    <mergeCell ref="AC110:AC113"/>
    <mergeCell ref="AD110:AD113"/>
    <mergeCell ref="AE110:AE113"/>
    <mergeCell ref="AF110:AF113"/>
    <mergeCell ref="AG110:AG113"/>
    <mergeCell ref="AH110:AH113"/>
    <mergeCell ref="W110:W113"/>
    <mergeCell ref="X110:X113"/>
    <mergeCell ref="AM116:AM117"/>
    <mergeCell ref="AN116:AN117"/>
    <mergeCell ref="AO116:AO117"/>
    <mergeCell ref="AD116:AD117"/>
    <mergeCell ref="AE116:AE117"/>
    <mergeCell ref="AF116:AF117"/>
    <mergeCell ref="AG116:AG117"/>
    <mergeCell ref="AH116:AH117"/>
    <mergeCell ref="AI116:AI117"/>
    <mergeCell ref="G119:G123"/>
    <mergeCell ref="H119:H123"/>
    <mergeCell ref="I119:I123"/>
    <mergeCell ref="J119:J123"/>
    <mergeCell ref="K119:K123"/>
    <mergeCell ref="L119:L139"/>
    <mergeCell ref="AJ116:AJ117"/>
    <mergeCell ref="AK116:AK117"/>
    <mergeCell ref="AL116:AL117"/>
    <mergeCell ref="X116:X117"/>
    <mergeCell ref="Y116:Y117"/>
    <mergeCell ref="Z116:Z117"/>
    <mergeCell ref="AA116:AA117"/>
    <mergeCell ref="AB116:AB117"/>
    <mergeCell ref="AC116:AC117"/>
    <mergeCell ref="X119:X123"/>
    <mergeCell ref="Y119:Y123"/>
    <mergeCell ref="Z119:Z123"/>
    <mergeCell ref="AA119:AA123"/>
    <mergeCell ref="M119:M139"/>
    <mergeCell ref="N119:N139"/>
    <mergeCell ref="O119:O139"/>
    <mergeCell ref="P119:P139"/>
    <mergeCell ref="Q119:Q139"/>
    <mergeCell ref="J124:J139"/>
    <mergeCell ref="K124:K139"/>
    <mergeCell ref="W124:W139"/>
    <mergeCell ref="X124:X139"/>
    <mergeCell ref="Y124:Y139"/>
    <mergeCell ref="AH119:AH123"/>
    <mergeCell ref="AI119:AI123"/>
    <mergeCell ref="AJ119:AJ123"/>
    <mergeCell ref="AK119:AK123"/>
    <mergeCell ref="AB119:AB123"/>
    <mergeCell ref="AC119:AC123"/>
    <mergeCell ref="AD119:AD123"/>
    <mergeCell ref="AE119:AE123"/>
    <mergeCell ref="AF119:AF123"/>
    <mergeCell ref="AG119:AG123"/>
    <mergeCell ref="S119:S120"/>
    <mergeCell ref="W119:W123"/>
    <mergeCell ref="AO124:AO139"/>
    <mergeCell ref="S130:S131"/>
    <mergeCell ref="S132:S133"/>
    <mergeCell ref="S134:S135"/>
    <mergeCell ref="AF124:AF139"/>
    <mergeCell ref="AG124:AG139"/>
    <mergeCell ref="AH124:AH139"/>
    <mergeCell ref="AI124:AI139"/>
    <mergeCell ref="AJ124:AJ139"/>
    <mergeCell ref="AK124:AK139"/>
    <mergeCell ref="Z124:Z139"/>
    <mergeCell ref="AA124:AA139"/>
    <mergeCell ref="AB124:AB139"/>
    <mergeCell ref="AC124:AC139"/>
    <mergeCell ref="AD124:AD139"/>
    <mergeCell ref="AE124:AE139"/>
    <mergeCell ref="AN119:AN123"/>
    <mergeCell ref="AO119:AO123"/>
    <mergeCell ref="AL119:AL123"/>
    <mergeCell ref="AM119:AM123"/>
    <mergeCell ref="G140:G142"/>
    <mergeCell ref="H140:H142"/>
    <mergeCell ref="I140:I142"/>
    <mergeCell ref="J140:J142"/>
    <mergeCell ref="K140:K142"/>
    <mergeCell ref="L140:L142"/>
    <mergeCell ref="AL124:AL139"/>
    <mergeCell ref="AM124:AM139"/>
    <mergeCell ref="AN124:AN139"/>
    <mergeCell ref="X140:X142"/>
    <mergeCell ref="Y140:Y142"/>
    <mergeCell ref="Z140:Z142"/>
    <mergeCell ref="AA140:AA142"/>
    <mergeCell ref="M140:M142"/>
    <mergeCell ref="N140:N142"/>
    <mergeCell ref="O140:O142"/>
    <mergeCell ref="P140:P142"/>
    <mergeCell ref="Q140:Q142"/>
    <mergeCell ref="R140:R142"/>
    <mergeCell ref="AN140:AN142"/>
    <mergeCell ref="R119:R139"/>
    <mergeCell ref="G124:G139"/>
    <mergeCell ref="H124:H139"/>
    <mergeCell ref="I124:I139"/>
    <mergeCell ref="AO140:AO142"/>
    <mergeCell ref="G145:G155"/>
    <mergeCell ref="H145:H155"/>
    <mergeCell ref="I145:I155"/>
    <mergeCell ref="J145:J155"/>
    <mergeCell ref="K145:K155"/>
    <mergeCell ref="L145:L160"/>
    <mergeCell ref="M145:M160"/>
    <mergeCell ref="N145:N160"/>
    <mergeCell ref="AH140:AH142"/>
    <mergeCell ref="AI140:AI142"/>
    <mergeCell ref="AJ140:AJ142"/>
    <mergeCell ref="AK140:AK142"/>
    <mergeCell ref="AL140:AL142"/>
    <mergeCell ref="AM140:AM142"/>
    <mergeCell ref="AB140:AB142"/>
    <mergeCell ref="AC140:AC142"/>
    <mergeCell ref="AD140:AD142"/>
    <mergeCell ref="AE140:AE142"/>
    <mergeCell ref="AF140:AF142"/>
    <mergeCell ref="AG140:AG142"/>
    <mergeCell ref="S140:S141"/>
    <mergeCell ref="W140:W142"/>
    <mergeCell ref="AM145:AM160"/>
    <mergeCell ref="AN145:AN160"/>
    <mergeCell ref="AO145:AO160"/>
    <mergeCell ref="AD145:AD160"/>
    <mergeCell ref="AE145:AE160"/>
    <mergeCell ref="AF145:AF160"/>
    <mergeCell ref="AG145:AG160"/>
    <mergeCell ref="AH145:AH160"/>
    <mergeCell ref="AI145:AI160"/>
    <mergeCell ref="G156:G160"/>
    <mergeCell ref="H156:H160"/>
    <mergeCell ref="I156:I160"/>
    <mergeCell ref="J156:J160"/>
    <mergeCell ref="K156:K160"/>
    <mergeCell ref="O156:O160"/>
    <mergeCell ref="AJ145:AJ160"/>
    <mergeCell ref="AK145:AK160"/>
    <mergeCell ref="AL145:AL160"/>
    <mergeCell ref="X145:X160"/>
    <mergeCell ref="Y145:Y160"/>
    <mergeCell ref="Z145:Z160"/>
    <mergeCell ref="AA145:AA160"/>
    <mergeCell ref="AB145:AB160"/>
    <mergeCell ref="AC145:AC160"/>
    <mergeCell ref="O145:O155"/>
    <mergeCell ref="P145:P160"/>
    <mergeCell ref="Q145:Q160"/>
    <mergeCell ref="R145:R160"/>
    <mergeCell ref="S145:S146"/>
    <mergeCell ref="W145:W160"/>
    <mergeCell ref="S153:S154"/>
    <mergeCell ref="M161:M167"/>
    <mergeCell ref="N161:N167"/>
    <mergeCell ref="O161:O166"/>
    <mergeCell ref="P161:P167"/>
    <mergeCell ref="Q161:Q167"/>
    <mergeCell ref="R161:R167"/>
    <mergeCell ref="G161:G166"/>
    <mergeCell ref="H161:H166"/>
    <mergeCell ref="I161:I166"/>
    <mergeCell ref="J161:J166"/>
    <mergeCell ref="K161:K166"/>
    <mergeCell ref="L161:L167"/>
    <mergeCell ref="AD161:AD167"/>
    <mergeCell ref="AE161:AE167"/>
    <mergeCell ref="AF161:AF167"/>
    <mergeCell ref="AG161:AG167"/>
    <mergeCell ref="S161:S162"/>
    <mergeCell ref="W161:W167"/>
    <mergeCell ref="X161:X167"/>
    <mergeCell ref="Y161:Y167"/>
    <mergeCell ref="Z161:Z167"/>
    <mergeCell ref="AA161:AA167"/>
    <mergeCell ref="I168:I173"/>
    <mergeCell ref="J168:J173"/>
    <mergeCell ref="K168:K173"/>
    <mergeCell ref="L168:L173"/>
    <mergeCell ref="M168:M173"/>
    <mergeCell ref="N168:N173"/>
    <mergeCell ref="O168:O173"/>
    <mergeCell ref="P168:P173"/>
    <mergeCell ref="Q168:Q173"/>
    <mergeCell ref="R168:R173"/>
    <mergeCell ref="S168:S169"/>
    <mergeCell ref="W168:W173"/>
    <mergeCell ref="AN161:AN167"/>
    <mergeCell ref="AO161:AO167"/>
    <mergeCell ref="A168:A173"/>
    <mergeCell ref="B168:B173"/>
    <mergeCell ref="C168:C173"/>
    <mergeCell ref="D168:D173"/>
    <mergeCell ref="E168:E173"/>
    <mergeCell ref="F168:F173"/>
    <mergeCell ref="G168:G173"/>
    <mergeCell ref="H168:H173"/>
    <mergeCell ref="AH161:AH167"/>
    <mergeCell ref="AI161:AI167"/>
    <mergeCell ref="AJ161:AJ167"/>
    <mergeCell ref="AK161:AK167"/>
    <mergeCell ref="AL161:AL167"/>
    <mergeCell ref="AM161:AM167"/>
    <mergeCell ref="AB161:AB167"/>
    <mergeCell ref="AC161:AC167"/>
    <mergeCell ref="X168:X173"/>
    <mergeCell ref="Y168:Y173"/>
    <mergeCell ref="Z168:Z173"/>
    <mergeCell ref="AA168:AA173"/>
    <mergeCell ref="AB168:AB173"/>
    <mergeCell ref="AC168:AC173"/>
    <mergeCell ref="AJ168:AJ173"/>
    <mergeCell ref="AK168:AK173"/>
    <mergeCell ref="AL168:AL173"/>
    <mergeCell ref="AM168:AM173"/>
    <mergeCell ref="AN168:AN173"/>
    <mergeCell ref="AO168:AO173"/>
    <mergeCell ref="AD168:AD173"/>
    <mergeCell ref="AE168:AE173"/>
    <mergeCell ref="AF168:AF173"/>
    <mergeCell ref="AG168:AG173"/>
    <mergeCell ref="AH168:AH173"/>
    <mergeCell ref="AI168:AI17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51"/>
  <sheetViews>
    <sheetView showGridLines="0" topLeftCell="T1" zoomScale="60" zoomScaleNormal="60" workbookViewId="0">
      <selection activeCell="V19" sqref="V19"/>
    </sheetView>
  </sheetViews>
  <sheetFormatPr baseColWidth="10" defaultColWidth="11.42578125" defaultRowHeight="14.25" x14ac:dyDescent="0.2"/>
  <cols>
    <col min="1" max="1" width="16" style="439" customWidth="1"/>
    <col min="2" max="2" width="4" style="360" customWidth="1"/>
    <col min="3" max="3" width="15.28515625" style="360" customWidth="1"/>
    <col min="4" max="4" width="14.7109375" style="360" customWidth="1"/>
    <col min="5" max="5" width="10" style="360" customWidth="1"/>
    <col min="6" max="6" width="9.85546875" style="360" customWidth="1"/>
    <col min="7" max="7" width="14.140625" style="360" customWidth="1"/>
    <col min="8" max="8" width="16.42578125" style="360" customWidth="1"/>
    <col min="9" max="9" width="32.140625" style="442" customWidth="1"/>
    <col min="10" max="10" width="30.7109375" style="442" customWidth="1"/>
    <col min="11" max="11" width="21.140625" style="180" customWidth="1"/>
    <col min="12" max="12" width="40.28515625" style="180" customWidth="1"/>
    <col min="13" max="13" width="27.28515625" style="441" customWidth="1"/>
    <col min="14" max="14" width="34.7109375" style="440" customWidth="1"/>
    <col min="15" max="15" width="15.85546875" style="443" customWidth="1"/>
    <col min="16" max="16" width="32.7109375" style="444" customWidth="1"/>
    <col min="17" max="17" width="29.28515625" style="440" customWidth="1"/>
    <col min="18" max="18" width="33.85546875" style="440" customWidth="1"/>
    <col min="19" max="19" width="44.42578125" style="440" customWidth="1"/>
    <col min="20" max="20" width="33.28515625" style="1425" customWidth="1"/>
    <col min="21" max="21" width="13.7109375" style="446" customWidth="1"/>
    <col min="22" max="22" width="37.28515625" style="447" customWidth="1"/>
    <col min="23" max="23" width="14.28515625" style="360" customWidth="1"/>
    <col min="24" max="24" width="12.5703125" style="360" customWidth="1"/>
    <col min="25" max="26" width="11.28515625" style="360" customWidth="1"/>
    <col min="27" max="27" width="15.140625" style="360" customWidth="1"/>
    <col min="28" max="28" width="15" style="360" customWidth="1"/>
    <col min="29" max="29" width="8.28515625" style="360" customWidth="1"/>
    <col min="30" max="30" width="10.28515625" style="360" customWidth="1"/>
    <col min="31" max="31" width="9.85546875" style="360" customWidth="1"/>
    <col min="32" max="32" width="7.42578125" style="360" customWidth="1"/>
    <col min="33" max="33" width="7.28515625" style="360" customWidth="1"/>
    <col min="34" max="34" width="5.85546875" style="360" customWidth="1"/>
    <col min="35" max="35" width="14.42578125" style="360" customWidth="1"/>
    <col min="36" max="36" width="13.28515625" style="360" customWidth="1"/>
    <col min="37" max="37" width="11.85546875" style="360" customWidth="1"/>
    <col min="38" max="38" width="16.42578125" style="360" customWidth="1"/>
    <col min="39" max="39" width="16.5703125" style="1419" customWidth="1"/>
    <col min="40" max="40" width="24.42578125" style="454" customWidth="1"/>
    <col min="41" max="41" width="27" style="450" customWidth="1"/>
    <col min="42" max="43" width="11.42578125" style="360"/>
    <col min="44" max="44" width="28.28515625" style="1420" customWidth="1"/>
    <col min="45" max="45" width="15.85546875" style="360" bestFit="1" customWidth="1"/>
    <col min="46" max="46" width="14.7109375" style="360" customWidth="1"/>
    <col min="47" max="47" width="27.140625" style="360" customWidth="1"/>
    <col min="48" max="16384" width="11.42578125" style="360"/>
  </cols>
  <sheetData>
    <row r="1" spans="1:59" ht="15" x14ac:dyDescent="0.2">
      <c r="A1" s="2895" t="s">
        <v>1179</v>
      </c>
      <c r="B1" s="2896"/>
      <c r="C1" s="2896"/>
      <c r="D1" s="2896"/>
      <c r="E1" s="2896"/>
      <c r="F1" s="2896"/>
      <c r="G1" s="2896"/>
      <c r="H1" s="2896"/>
      <c r="I1" s="2896"/>
      <c r="J1" s="2896"/>
      <c r="K1" s="2896"/>
      <c r="L1" s="2896"/>
      <c r="M1" s="2896"/>
      <c r="N1" s="2896"/>
      <c r="O1" s="2896"/>
      <c r="P1" s="2896"/>
      <c r="Q1" s="2896"/>
      <c r="R1" s="2896"/>
      <c r="S1" s="2896"/>
      <c r="T1" s="2896"/>
      <c r="U1" s="2896"/>
      <c r="V1" s="2896"/>
      <c r="W1" s="2896"/>
      <c r="X1" s="2896"/>
      <c r="Y1" s="2896"/>
      <c r="Z1" s="2896"/>
      <c r="AA1" s="2896"/>
      <c r="AB1" s="2896"/>
      <c r="AC1" s="2896"/>
      <c r="AD1" s="2896"/>
      <c r="AE1" s="2896"/>
      <c r="AF1" s="2896"/>
      <c r="AG1" s="2896"/>
      <c r="AH1" s="2896"/>
      <c r="AI1" s="2896"/>
      <c r="AJ1" s="2896"/>
      <c r="AK1" s="2896"/>
      <c r="AL1" s="2896"/>
      <c r="AM1" s="2897"/>
      <c r="AN1" s="1342" t="s">
        <v>1</v>
      </c>
      <c r="AO1" s="819" t="s">
        <v>2</v>
      </c>
      <c r="AP1" s="180"/>
      <c r="AQ1" s="180"/>
      <c r="AR1" s="1343"/>
      <c r="AS1" s="180"/>
      <c r="AT1" s="180"/>
      <c r="AU1" s="180"/>
      <c r="AV1" s="180"/>
      <c r="AW1" s="180"/>
      <c r="AX1" s="180"/>
      <c r="AY1" s="180"/>
      <c r="AZ1" s="180"/>
      <c r="BA1" s="180"/>
      <c r="BB1" s="180"/>
      <c r="BC1" s="180"/>
      <c r="BD1" s="180"/>
      <c r="BE1" s="180"/>
      <c r="BF1" s="180"/>
      <c r="BG1" s="180"/>
    </row>
    <row r="2" spans="1:59" ht="15" x14ac:dyDescent="0.2">
      <c r="A2" s="2896"/>
      <c r="B2" s="2896"/>
      <c r="C2" s="2896"/>
      <c r="D2" s="2896"/>
      <c r="E2" s="2896"/>
      <c r="F2" s="2896"/>
      <c r="G2" s="2896"/>
      <c r="H2" s="2896"/>
      <c r="I2" s="2896"/>
      <c r="J2" s="2896"/>
      <c r="K2" s="2896"/>
      <c r="L2" s="2896"/>
      <c r="M2" s="2896"/>
      <c r="N2" s="2896"/>
      <c r="O2" s="2896"/>
      <c r="P2" s="2896"/>
      <c r="Q2" s="2896"/>
      <c r="R2" s="2896"/>
      <c r="S2" s="2896"/>
      <c r="T2" s="2896"/>
      <c r="U2" s="2896"/>
      <c r="V2" s="2896"/>
      <c r="W2" s="2896"/>
      <c r="X2" s="2896"/>
      <c r="Y2" s="2896"/>
      <c r="Z2" s="2896"/>
      <c r="AA2" s="2896"/>
      <c r="AB2" s="2896"/>
      <c r="AC2" s="2896"/>
      <c r="AD2" s="2896"/>
      <c r="AE2" s="2896"/>
      <c r="AF2" s="2896"/>
      <c r="AG2" s="2896"/>
      <c r="AH2" s="2896"/>
      <c r="AI2" s="2896"/>
      <c r="AJ2" s="2896"/>
      <c r="AK2" s="2896"/>
      <c r="AL2" s="2896"/>
      <c r="AM2" s="2897"/>
      <c r="AN2" s="1342" t="s">
        <v>3</v>
      </c>
      <c r="AO2" s="819" t="s">
        <v>4</v>
      </c>
      <c r="AP2" s="180"/>
      <c r="AQ2" s="180"/>
      <c r="AR2" s="1343"/>
      <c r="AS2" s="180"/>
      <c r="AT2" s="180"/>
      <c r="AU2" s="180"/>
      <c r="AV2" s="180"/>
      <c r="AW2" s="180"/>
      <c r="AX2" s="180"/>
      <c r="AY2" s="180"/>
      <c r="AZ2" s="180"/>
      <c r="BA2" s="180"/>
      <c r="BB2" s="180"/>
      <c r="BC2" s="180"/>
      <c r="BD2" s="180"/>
      <c r="BE2" s="180"/>
      <c r="BF2" s="180"/>
      <c r="BG2" s="180"/>
    </row>
    <row r="3" spans="1:59" ht="15" x14ac:dyDescent="0.2">
      <c r="A3" s="2896"/>
      <c r="B3" s="2896"/>
      <c r="C3" s="2896"/>
      <c r="D3" s="2896"/>
      <c r="E3" s="2896"/>
      <c r="F3" s="2896"/>
      <c r="G3" s="2896"/>
      <c r="H3" s="2896"/>
      <c r="I3" s="2896"/>
      <c r="J3" s="2896"/>
      <c r="K3" s="2896"/>
      <c r="L3" s="2896"/>
      <c r="M3" s="2896"/>
      <c r="N3" s="2896"/>
      <c r="O3" s="2896"/>
      <c r="P3" s="2896"/>
      <c r="Q3" s="2896"/>
      <c r="R3" s="2896"/>
      <c r="S3" s="2896"/>
      <c r="T3" s="2896"/>
      <c r="U3" s="2896"/>
      <c r="V3" s="2896"/>
      <c r="W3" s="2896"/>
      <c r="X3" s="2896"/>
      <c r="Y3" s="2896"/>
      <c r="Z3" s="2896"/>
      <c r="AA3" s="2896"/>
      <c r="AB3" s="2896"/>
      <c r="AC3" s="2896"/>
      <c r="AD3" s="2896"/>
      <c r="AE3" s="2896"/>
      <c r="AF3" s="2896"/>
      <c r="AG3" s="2896"/>
      <c r="AH3" s="2896"/>
      <c r="AI3" s="2896"/>
      <c r="AJ3" s="2896"/>
      <c r="AK3" s="2896"/>
      <c r="AL3" s="2896"/>
      <c r="AM3" s="2897"/>
      <c r="AN3" s="1342" t="s">
        <v>5</v>
      </c>
      <c r="AO3" s="1344" t="s">
        <v>6</v>
      </c>
      <c r="AP3" s="180"/>
      <c r="AQ3" s="180"/>
      <c r="AR3" s="1343"/>
      <c r="AS3" s="180"/>
      <c r="AT3" s="180"/>
      <c r="AU3" s="180"/>
      <c r="AV3" s="180"/>
      <c r="AW3" s="180"/>
      <c r="AX3" s="180"/>
      <c r="AY3" s="180"/>
      <c r="AZ3" s="180"/>
      <c r="BA3" s="180"/>
      <c r="BB3" s="180"/>
      <c r="BC3" s="180"/>
      <c r="BD3" s="180"/>
      <c r="BE3" s="180"/>
      <c r="BF3" s="180"/>
      <c r="BG3" s="180"/>
    </row>
    <row r="4" spans="1:59" ht="15" x14ac:dyDescent="0.2">
      <c r="A4" s="2898"/>
      <c r="B4" s="2898"/>
      <c r="C4" s="2898"/>
      <c r="D4" s="2898"/>
      <c r="E4" s="2898"/>
      <c r="F4" s="2898"/>
      <c r="G4" s="2898"/>
      <c r="H4" s="2898"/>
      <c r="I4" s="2898"/>
      <c r="J4" s="2898"/>
      <c r="K4" s="2898"/>
      <c r="L4" s="2898"/>
      <c r="M4" s="2898"/>
      <c r="N4" s="2898"/>
      <c r="O4" s="2898"/>
      <c r="P4" s="2898"/>
      <c r="Q4" s="2898"/>
      <c r="R4" s="2898"/>
      <c r="S4" s="2898"/>
      <c r="T4" s="2898"/>
      <c r="U4" s="2898"/>
      <c r="V4" s="2898"/>
      <c r="W4" s="2898"/>
      <c r="X4" s="2898"/>
      <c r="Y4" s="2898"/>
      <c r="Z4" s="2898"/>
      <c r="AA4" s="2898"/>
      <c r="AB4" s="2898"/>
      <c r="AC4" s="2898"/>
      <c r="AD4" s="2898"/>
      <c r="AE4" s="2898"/>
      <c r="AF4" s="2898"/>
      <c r="AG4" s="2898"/>
      <c r="AH4" s="2898"/>
      <c r="AI4" s="2898"/>
      <c r="AJ4" s="2898"/>
      <c r="AK4" s="2898"/>
      <c r="AL4" s="2898"/>
      <c r="AM4" s="2899"/>
      <c r="AN4" s="1342" t="s">
        <v>7</v>
      </c>
      <c r="AO4" s="1345" t="s">
        <v>8</v>
      </c>
      <c r="AP4" s="180"/>
      <c r="AQ4" s="180"/>
      <c r="AR4" s="1343"/>
      <c r="AS4" s="180"/>
      <c r="AT4" s="180"/>
      <c r="AU4" s="180"/>
      <c r="AV4" s="180"/>
      <c r="AW4" s="180"/>
      <c r="AX4" s="180"/>
      <c r="AY4" s="180"/>
      <c r="AZ4" s="180"/>
      <c r="BA4" s="180"/>
      <c r="BB4" s="180"/>
      <c r="BC4" s="180"/>
      <c r="BD4" s="180"/>
      <c r="BE4" s="180"/>
      <c r="BF4" s="180"/>
      <c r="BG4" s="180"/>
    </row>
    <row r="5" spans="1:59" ht="15" x14ac:dyDescent="0.2">
      <c r="A5" s="2235" t="s">
        <v>9</v>
      </c>
      <c r="B5" s="2235"/>
      <c r="C5" s="2235"/>
      <c r="D5" s="2235"/>
      <c r="E5" s="2235"/>
      <c r="F5" s="2235"/>
      <c r="G5" s="2235"/>
      <c r="H5" s="2235"/>
      <c r="I5" s="2235"/>
      <c r="J5" s="2235"/>
      <c r="K5" s="2235"/>
      <c r="L5" s="2900" t="s">
        <v>10</v>
      </c>
      <c r="M5" s="2900"/>
      <c r="N5" s="2900"/>
      <c r="O5" s="2900"/>
      <c r="P5" s="2900"/>
      <c r="Q5" s="2900"/>
      <c r="R5" s="2900"/>
      <c r="S5" s="2900"/>
      <c r="T5" s="2900"/>
      <c r="U5" s="2900"/>
      <c r="V5" s="2900"/>
      <c r="W5" s="2900"/>
      <c r="X5" s="2900"/>
      <c r="Y5" s="2900"/>
      <c r="Z5" s="2900"/>
      <c r="AA5" s="2900"/>
      <c r="AB5" s="2900"/>
      <c r="AC5" s="2900"/>
      <c r="AD5" s="2900"/>
      <c r="AE5" s="2900"/>
      <c r="AF5" s="2900"/>
      <c r="AG5" s="2900"/>
      <c r="AH5" s="2900"/>
      <c r="AI5" s="2900"/>
      <c r="AJ5" s="2900"/>
      <c r="AK5" s="2900"/>
      <c r="AL5" s="2900"/>
      <c r="AM5" s="2900"/>
      <c r="AN5" s="2900"/>
      <c r="AO5" s="2900"/>
      <c r="AP5" s="180"/>
      <c r="AQ5" s="180"/>
      <c r="AR5" s="1343"/>
      <c r="AS5" s="180"/>
      <c r="AT5" s="180"/>
      <c r="AU5" s="180"/>
      <c r="AV5" s="180"/>
      <c r="AW5" s="180"/>
      <c r="AX5" s="180"/>
      <c r="AY5" s="180"/>
      <c r="AZ5" s="180"/>
      <c r="BA5" s="180"/>
      <c r="BB5" s="180"/>
      <c r="BC5" s="180"/>
      <c r="BD5" s="180"/>
      <c r="BE5" s="180"/>
      <c r="BF5" s="180"/>
      <c r="BG5" s="180"/>
    </row>
    <row r="6" spans="1:59" ht="15" x14ac:dyDescent="0.2">
      <c r="A6" s="2233"/>
      <c r="B6" s="2233"/>
      <c r="C6" s="2233"/>
      <c r="D6" s="2233"/>
      <c r="E6" s="2233"/>
      <c r="F6" s="2233"/>
      <c r="G6" s="2233"/>
      <c r="H6" s="2233"/>
      <c r="I6" s="2233"/>
      <c r="J6" s="2233"/>
      <c r="K6" s="2233"/>
      <c r="L6" s="1346"/>
      <c r="M6" s="1347"/>
      <c r="N6" s="1348"/>
      <c r="O6" s="1348"/>
      <c r="P6" s="1348"/>
      <c r="Q6" s="1348"/>
      <c r="R6" s="1348"/>
      <c r="S6" s="1348"/>
      <c r="T6" s="1349"/>
      <c r="U6" s="1347"/>
      <c r="V6" s="1347"/>
      <c r="W6" s="2901" t="s">
        <v>11</v>
      </c>
      <c r="X6" s="2902"/>
      <c r="Y6" s="2902"/>
      <c r="Z6" s="2902"/>
      <c r="AA6" s="2902"/>
      <c r="AB6" s="2902"/>
      <c r="AC6" s="2902"/>
      <c r="AD6" s="2902"/>
      <c r="AE6" s="2902"/>
      <c r="AF6" s="2902"/>
      <c r="AG6" s="2902"/>
      <c r="AH6" s="2902"/>
      <c r="AI6" s="2902"/>
      <c r="AJ6" s="2902"/>
      <c r="AK6" s="2903"/>
      <c r="AL6" s="1347"/>
      <c r="AM6" s="1347"/>
      <c r="AN6" s="1347"/>
      <c r="AO6" s="1350"/>
      <c r="AP6" s="180"/>
      <c r="AQ6" s="180"/>
      <c r="AR6" s="1343"/>
      <c r="AS6" s="180"/>
      <c r="AT6" s="180"/>
      <c r="AU6" s="180"/>
      <c r="AV6" s="180"/>
      <c r="AW6" s="180"/>
      <c r="AX6" s="180"/>
      <c r="AY6" s="180"/>
      <c r="AZ6" s="180"/>
      <c r="BA6" s="180"/>
      <c r="BB6" s="180"/>
      <c r="BC6" s="180"/>
      <c r="BD6" s="180"/>
      <c r="BE6" s="180"/>
      <c r="BF6" s="180"/>
      <c r="BG6" s="180"/>
    </row>
    <row r="7" spans="1:59" s="4" customFormat="1" ht="24.75" customHeight="1" x14ac:dyDescent="0.2">
      <c r="A7" s="2158" t="s">
        <v>12</v>
      </c>
      <c r="B7" s="2160" t="s">
        <v>13</v>
      </c>
      <c r="C7" s="2161"/>
      <c r="D7" s="2161" t="s">
        <v>12</v>
      </c>
      <c r="E7" s="2160" t="s">
        <v>14</v>
      </c>
      <c r="F7" s="2161"/>
      <c r="G7" s="2161" t="s">
        <v>12</v>
      </c>
      <c r="H7" s="13"/>
      <c r="I7" s="2160" t="s">
        <v>15</v>
      </c>
      <c r="J7" s="2143" t="s">
        <v>16</v>
      </c>
      <c r="K7" s="2143" t="s">
        <v>17</v>
      </c>
      <c r="L7" s="2143" t="s">
        <v>18</v>
      </c>
      <c r="M7" s="2143" t="s">
        <v>19</v>
      </c>
      <c r="N7" s="2143" t="s">
        <v>10</v>
      </c>
      <c r="O7" s="2165" t="s">
        <v>20</v>
      </c>
      <c r="P7" s="2167" t="s">
        <v>21</v>
      </c>
      <c r="Q7" s="2160" t="s">
        <v>22</v>
      </c>
      <c r="R7" s="2160" t="s">
        <v>23</v>
      </c>
      <c r="S7" s="2143" t="s">
        <v>24</v>
      </c>
      <c r="T7" s="2252" t="s">
        <v>21</v>
      </c>
      <c r="U7" s="883"/>
      <c r="V7" s="2143" t="s">
        <v>25</v>
      </c>
      <c r="W7" s="2249" t="s">
        <v>26</v>
      </c>
      <c r="X7" s="2249"/>
      <c r="Y7" s="2241" t="s">
        <v>27</v>
      </c>
      <c r="Z7" s="2241"/>
      <c r="AA7" s="2241"/>
      <c r="AB7" s="2241"/>
      <c r="AC7" s="2242" t="s">
        <v>28</v>
      </c>
      <c r="AD7" s="2243"/>
      <c r="AE7" s="2243"/>
      <c r="AF7" s="2243"/>
      <c r="AG7" s="2243"/>
      <c r="AH7" s="2244"/>
      <c r="AI7" s="2241" t="s">
        <v>29</v>
      </c>
      <c r="AJ7" s="2241"/>
      <c r="AK7" s="2241"/>
      <c r="AL7" s="2245" t="s">
        <v>30</v>
      </c>
      <c r="AM7" s="2173" t="s">
        <v>31</v>
      </c>
      <c r="AN7" s="2173" t="s">
        <v>32</v>
      </c>
      <c r="AO7" s="2175" t="s">
        <v>33</v>
      </c>
      <c r="AP7" s="3"/>
      <c r="AQ7" s="3"/>
      <c r="AR7" s="1351"/>
      <c r="AS7" s="3"/>
      <c r="AT7" s="3"/>
      <c r="AU7" s="3"/>
      <c r="AV7" s="3"/>
      <c r="AW7" s="3"/>
      <c r="AX7" s="3"/>
      <c r="AY7" s="3"/>
      <c r="AZ7" s="3"/>
      <c r="BA7" s="3"/>
      <c r="BB7" s="3"/>
      <c r="BC7" s="3"/>
      <c r="BD7" s="3"/>
      <c r="BE7" s="3"/>
      <c r="BF7" s="3"/>
      <c r="BG7" s="3"/>
    </row>
    <row r="8" spans="1:59" s="4" customFormat="1" ht="122.25" x14ac:dyDescent="0.2">
      <c r="A8" s="2159"/>
      <c r="B8" s="2162"/>
      <c r="C8" s="2163"/>
      <c r="D8" s="2163"/>
      <c r="E8" s="2162"/>
      <c r="F8" s="2163"/>
      <c r="G8" s="2163"/>
      <c r="H8" s="15" t="s">
        <v>1180</v>
      </c>
      <c r="I8" s="2162"/>
      <c r="J8" s="2144"/>
      <c r="K8" s="2144"/>
      <c r="L8" s="2144"/>
      <c r="M8" s="2144"/>
      <c r="N8" s="2144"/>
      <c r="O8" s="2166"/>
      <c r="P8" s="2168"/>
      <c r="Q8" s="2162"/>
      <c r="R8" s="2162"/>
      <c r="S8" s="2144"/>
      <c r="T8" s="2253"/>
      <c r="U8" s="884" t="s">
        <v>12</v>
      </c>
      <c r="V8" s="2144"/>
      <c r="W8" s="911" t="s">
        <v>35</v>
      </c>
      <c r="X8" s="912" t="s">
        <v>36</v>
      </c>
      <c r="Y8" s="19" t="s">
        <v>37</v>
      </c>
      <c r="Z8" s="19" t="s">
        <v>38</v>
      </c>
      <c r="AA8" s="19" t="s">
        <v>1181</v>
      </c>
      <c r="AB8" s="19" t="s">
        <v>40</v>
      </c>
      <c r="AC8" s="19" t="s">
        <v>41</v>
      </c>
      <c r="AD8" s="19" t="s">
        <v>42</v>
      </c>
      <c r="AE8" s="19" t="s">
        <v>43</v>
      </c>
      <c r="AF8" s="19" t="s">
        <v>44</v>
      </c>
      <c r="AG8" s="19" t="s">
        <v>45</v>
      </c>
      <c r="AH8" s="19" t="s">
        <v>46</v>
      </c>
      <c r="AI8" s="19" t="s">
        <v>47</v>
      </c>
      <c r="AJ8" s="19" t="s">
        <v>48</v>
      </c>
      <c r="AK8" s="19" t="s">
        <v>49</v>
      </c>
      <c r="AL8" s="2246"/>
      <c r="AM8" s="2238"/>
      <c r="AN8" s="2238"/>
      <c r="AO8" s="2175"/>
      <c r="AP8" s="3"/>
      <c r="AQ8" s="3"/>
      <c r="AR8" s="1351"/>
      <c r="AS8" s="3"/>
      <c r="AT8" s="3"/>
      <c r="AU8" s="3"/>
      <c r="AV8" s="3"/>
      <c r="AW8" s="3"/>
      <c r="AX8" s="3"/>
      <c r="AY8" s="3"/>
      <c r="AZ8" s="3"/>
      <c r="BA8" s="3"/>
      <c r="BB8" s="3"/>
      <c r="BC8" s="3"/>
      <c r="BD8" s="3"/>
      <c r="BE8" s="3"/>
      <c r="BF8" s="3"/>
      <c r="BG8" s="3"/>
    </row>
    <row r="9" spans="1:59" s="117" customFormat="1" ht="15.75" x14ac:dyDescent="0.2">
      <c r="A9" s="1352">
        <v>1</v>
      </c>
      <c r="B9" s="1353" t="s">
        <v>214</v>
      </c>
      <c r="C9" s="381"/>
      <c r="D9" s="23"/>
      <c r="E9" s="23"/>
      <c r="F9" s="23"/>
      <c r="G9" s="23"/>
      <c r="H9" s="23"/>
      <c r="I9" s="25"/>
      <c r="J9" s="25"/>
      <c r="K9" s="23"/>
      <c r="L9" s="23"/>
      <c r="M9" s="26"/>
      <c r="N9" s="24"/>
      <c r="O9" s="27"/>
      <c r="P9" s="28"/>
      <c r="Q9" s="24"/>
      <c r="R9" s="24"/>
      <c r="S9" s="24"/>
      <c r="T9" s="30"/>
      <c r="U9" s="31"/>
      <c r="V9" s="26"/>
      <c r="W9" s="23"/>
      <c r="X9" s="23"/>
      <c r="Y9" s="23"/>
      <c r="Z9" s="23"/>
      <c r="AA9" s="23"/>
      <c r="AB9" s="23"/>
      <c r="AC9" s="23"/>
      <c r="AD9" s="23"/>
      <c r="AE9" s="23"/>
      <c r="AF9" s="23"/>
      <c r="AG9" s="23"/>
      <c r="AH9" s="23"/>
      <c r="AI9" s="23"/>
      <c r="AJ9" s="23"/>
      <c r="AK9" s="23"/>
      <c r="AL9" s="23"/>
      <c r="AM9" s="32"/>
      <c r="AN9" s="32"/>
      <c r="AO9" s="24"/>
      <c r="AP9" s="3"/>
      <c r="AQ9" s="3"/>
      <c r="AR9" s="1351"/>
      <c r="AS9" s="3"/>
      <c r="AT9" s="3"/>
      <c r="AU9" s="3"/>
      <c r="AV9" s="3"/>
      <c r="AW9" s="3"/>
      <c r="AX9" s="3"/>
      <c r="AY9" s="3"/>
      <c r="AZ9" s="3"/>
      <c r="BA9" s="3"/>
      <c r="BB9" s="3"/>
      <c r="BC9" s="3"/>
      <c r="BD9" s="3"/>
      <c r="BE9" s="3"/>
      <c r="BF9" s="3"/>
      <c r="BG9" s="3"/>
    </row>
    <row r="10" spans="1:59" s="3" customFormat="1" ht="15.75" x14ac:dyDescent="0.2">
      <c r="A10" s="885"/>
      <c r="B10" s="2383"/>
      <c r="C10" s="2384"/>
      <c r="D10" s="486">
        <v>25</v>
      </c>
      <c r="E10" s="2385" t="s">
        <v>662</v>
      </c>
      <c r="F10" s="2385"/>
      <c r="G10" s="2385"/>
      <c r="H10" s="2385"/>
      <c r="I10" s="2385"/>
      <c r="J10" s="2385"/>
      <c r="K10" s="2385"/>
      <c r="L10" s="2385"/>
      <c r="M10" s="2386"/>
      <c r="N10" s="393"/>
      <c r="O10" s="1356"/>
      <c r="P10" s="1357"/>
      <c r="Q10" s="387"/>
      <c r="R10" s="387"/>
      <c r="S10" s="387"/>
      <c r="T10" s="1358"/>
      <c r="U10" s="488"/>
      <c r="V10" s="396"/>
      <c r="W10" s="388"/>
      <c r="X10" s="388"/>
      <c r="Y10" s="388"/>
      <c r="Z10" s="388"/>
      <c r="AA10" s="388"/>
      <c r="AB10" s="388"/>
      <c r="AC10" s="388"/>
      <c r="AD10" s="388"/>
      <c r="AE10" s="388"/>
      <c r="AF10" s="388"/>
      <c r="AG10" s="388"/>
      <c r="AH10" s="388"/>
      <c r="AI10" s="388"/>
      <c r="AJ10" s="388"/>
      <c r="AK10" s="388"/>
      <c r="AL10" s="388"/>
      <c r="AM10" s="490"/>
      <c r="AN10" s="490"/>
      <c r="AO10" s="393"/>
      <c r="AP10" s="484"/>
      <c r="AR10" s="1351"/>
    </row>
    <row r="11" spans="1:59" s="3" customFormat="1" ht="30" customHeight="1" x14ac:dyDescent="0.2">
      <c r="A11" s="889"/>
      <c r="B11" s="2387"/>
      <c r="C11" s="2813"/>
      <c r="D11" s="79"/>
      <c r="E11" s="2388"/>
      <c r="F11" s="2388"/>
      <c r="G11" s="2889" t="s">
        <v>1182</v>
      </c>
      <c r="H11" s="2889">
        <v>25.6</v>
      </c>
      <c r="I11" s="2303" t="s">
        <v>1183</v>
      </c>
      <c r="J11" s="2426" t="s">
        <v>938</v>
      </c>
      <c r="K11" s="2323">
        <v>1600</v>
      </c>
      <c r="L11" s="2352" t="s">
        <v>1184</v>
      </c>
      <c r="M11" s="2680" t="s">
        <v>1185</v>
      </c>
      <c r="N11" s="2418" t="s">
        <v>1186</v>
      </c>
      <c r="O11" s="2886">
        <f>SUM(T11:T15)/P11</f>
        <v>6.9402011542021455E-2</v>
      </c>
      <c r="P11" s="2440">
        <f>SUM(T11:T26)</f>
        <v>1216103080.0799999</v>
      </c>
      <c r="Q11" s="2267" t="s">
        <v>1187</v>
      </c>
      <c r="R11" s="2892" t="s">
        <v>1188</v>
      </c>
      <c r="S11" s="2712" t="s">
        <v>1189</v>
      </c>
      <c r="T11" s="1360">
        <v>0</v>
      </c>
      <c r="U11" s="891"/>
      <c r="V11" s="1658"/>
      <c r="W11" s="2893">
        <v>85275</v>
      </c>
      <c r="X11" s="2881">
        <v>85275</v>
      </c>
      <c r="Y11" s="2881">
        <v>25580</v>
      </c>
      <c r="Z11" s="2881">
        <v>42638</v>
      </c>
      <c r="AA11" s="2881">
        <v>68221</v>
      </c>
      <c r="AB11" s="2881">
        <v>17055</v>
      </c>
      <c r="AC11" s="2881">
        <v>8528</v>
      </c>
      <c r="AD11" s="2881">
        <v>8528</v>
      </c>
      <c r="AE11" s="2881">
        <v>0</v>
      </c>
      <c r="AF11" s="2881">
        <v>0</v>
      </c>
      <c r="AG11" s="2881">
        <v>0</v>
      </c>
      <c r="AH11" s="2881">
        <v>0</v>
      </c>
      <c r="AI11" s="2881">
        <v>0</v>
      </c>
      <c r="AJ11" s="2881">
        <v>0</v>
      </c>
      <c r="AK11" s="2881">
        <v>0</v>
      </c>
      <c r="AL11" s="2881">
        <v>170550</v>
      </c>
      <c r="AM11" s="2883">
        <v>43832</v>
      </c>
      <c r="AN11" s="2883">
        <v>44195</v>
      </c>
      <c r="AO11" s="2201" t="s">
        <v>1191</v>
      </c>
      <c r="AP11" s="1361"/>
      <c r="AR11" s="1351"/>
    </row>
    <row r="12" spans="1:59" s="3" customFormat="1" ht="25.5" customHeight="1" x14ac:dyDescent="0.2">
      <c r="A12" s="889"/>
      <c r="B12" s="1362"/>
      <c r="C12" s="258"/>
      <c r="D12" s="895"/>
      <c r="E12" s="895"/>
      <c r="F12" s="895"/>
      <c r="G12" s="2889"/>
      <c r="H12" s="2889"/>
      <c r="I12" s="2303"/>
      <c r="J12" s="2426"/>
      <c r="K12" s="2323"/>
      <c r="L12" s="2306"/>
      <c r="M12" s="2681"/>
      <c r="N12" s="2419"/>
      <c r="O12" s="2886"/>
      <c r="P12" s="2440"/>
      <c r="Q12" s="2267"/>
      <c r="R12" s="2892"/>
      <c r="S12" s="2712"/>
      <c r="T12" s="1360">
        <v>0</v>
      </c>
      <c r="U12" s="891"/>
      <c r="V12" s="1658"/>
      <c r="W12" s="2894"/>
      <c r="X12" s="2882"/>
      <c r="Y12" s="2882"/>
      <c r="Z12" s="2882"/>
      <c r="AA12" s="2882"/>
      <c r="AB12" s="2882"/>
      <c r="AC12" s="2882"/>
      <c r="AD12" s="2882"/>
      <c r="AE12" s="2882"/>
      <c r="AF12" s="2882"/>
      <c r="AG12" s="2882"/>
      <c r="AH12" s="2882"/>
      <c r="AI12" s="2882"/>
      <c r="AJ12" s="2882"/>
      <c r="AK12" s="2882"/>
      <c r="AL12" s="2882"/>
      <c r="AM12" s="2884"/>
      <c r="AN12" s="2884"/>
      <c r="AO12" s="2202"/>
      <c r="AP12" s="1361"/>
      <c r="AR12" s="1351"/>
    </row>
    <row r="13" spans="1:59" s="3" customFormat="1" ht="38.25" customHeight="1" x14ac:dyDescent="0.2">
      <c r="A13" s="889"/>
      <c r="B13" s="1362"/>
      <c r="C13" s="258"/>
      <c r="D13" s="895"/>
      <c r="E13" s="895"/>
      <c r="F13" s="895"/>
      <c r="G13" s="2889"/>
      <c r="H13" s="2889"/>
      <c r="I13" s="2303"/>
      <c r="J13" s="2426"/>
      <c r="K13" s="2323"/>
      <c r="L13" s="2306"/>
      <c r="M13" s="2681"/>
      <c r="N13" s="2419"/>
      <c r="O13" s="2886"/>
      <c r="P13" s="2440"/>
      <c r="Q13" s="2267"/>
      <c r="R13" s="2892"/>
      <c r="S13" s="2885" t="s">
        <v>1192</v>
      </c>
      <c r="T13" s="1363">
        <v>44000000</v>
      </c>
      <c r="U13" s="1158">
        <v>20</v>
      </c>
      <c r="V13" s="1891" t="s">
        <v>1193</v>
      </c>
      <c r="W13" s="2894"/>
      <c r="X13" s="2882"/>
      <c r="Y13" s="2882"/>
      <c r="Z13" s="2882"/>
      <c r="AA13" s="2882"/>
      <c r="AB13" s="2882"/>
      <c r="AC13" s="2882"/>
      <c r="AD13" s="2882"/>
      <c r="AE13" s="2882"/>
      <c r="AF13" s="2882"/>
      <c r="AG13" s="2882"/>
      <c r="AH13" s="2882"/>
      <c r="AI13" s="2882"/>
      <c r="AJ13" s="2882"/>
      <c r="AK13" s="2882"/>
      <c r="AL13" s="2882"/>
      <c r="AM13" s="2884"/>
      <c r="AN13" s="2884"/>
      <c r="AO13" s="2202"/>
      <c r="AP13" s="1361"/>
      <c r="AR13" s="1351"/>
    </row>
    <row r="14" spans="1:59" s="3" customFormat="1" ht="38.25" customHeight="1" x14ac:dyDescent="0.2">
      <c r="A14" s="889"/>
      <c r="B14" s="1362"/>
      <c r="C14" s="258"/>
      <c r="D14" s="895"/>
      <c r="E14" s="895"/>
      <c r="F14" s="895"/>
      <c r="G14" s="2889"/>
      <c r="H14" s="2889"/>
      <c r="I14" s="2303"/>
      <c r="J14" s="2426"/>
      <c r="K14" s="2323"/>
      <c r="L14" s="2306"/>
      <c r="M14" s="2681"/>
      <c r="N14" s="2419"/>
      <c r="O14" s="2886"/>
      <c r="P14" s="2440"/>
      <c r="Q14" s="2267"/>
      <c r="R14" s="2892"/>
      <c r="S14" s="2885"/>
      <c r="T14" s="1363">
        <f>216749741-210749741</f>
        <v>6000000</v>
      </c>
      <c r="U14" s="1158">
        <v>88</v>
      </c>
      <c r="V14" s="1364" t="s">
        <v>1190</v>
      </c>
      <c r="W14" s="2894"/>
      <c r="X14" s="2882"/>
      <c r="Y14" s="2882"/>
      <c r="Z14" s="2882"/>
      <c r="AA14" s="2882"/>
      <c r="AB14" s="2882"/>
      <c r="AC14" s="2882"/>
      <c r="AD14" s="2882"/>
      <c r="AE14" s="2882"/>
      <c r="AF14" s="2882"/>
      <c r="AG14" s="2882"/>
      <c r="AH14" s="2882"/>
      <c r="AI14" s="2882"/>
      <c r="AJ14" s="2882"/>
      <c r="AK14" s="2882"/>
      <c r="AL14" s="2882"/>
      <c r="AM14" s="2884"/>
      <c r="AN14" s="2884"/>
      <c r="AO14" s="2202"/>
      <c r="AP14" s="1361"/>
      <c r="AR14" s="1351"/>
    </row>
    <row r="15" spans="1:59" s="3" customFormat="1" ht="38.25" customHeight="1" x14ac:dyDescent="0.2">
      <c r="A15" s="889"/>
      <c r="B15" s="1362"/>
      <c r="C15" s="258"/>
      <c r="D15" s="895"/>
      <c r="E15" s="895"/>
      <c r="F15" s="895"/>
      <c r="G15" s="2890"/>
      <c r="H15" s="2890"/>
      <c r="I15" s="2723"/>
      <c r="J15" s="2426"/>
      <c r="K15" s="2323"/>
      <c r="L15" s="2306"/>
      <c r="M15" s="2681"/>
      <c r="N15" s="2419"/>
      <c r="O15" s="2887"/>
      <c r="P15" s="2440"/>
      <c r="Q15" s="2267"/>
      <c r="R15" s="2892"/>
      <c r="S15" s="908" t="s">
        <v>1194</v>
      </c>
      <c r="T15" s="1363">
        <v>34400000</v>
      </c>
      <c r="U15" s="1365">
        <v>20</v>
      </c>
      <c r="V15" s="1366" t="s">
        <v>70</v>
      </c>
      <c r="W15" s="2894"/>
      <c r="X15" s="2882"/>
      <c r="Y15" s="2882"/>
      <c r="Z15" s="2882"/>
      <c r="AA15" s="2882"/>
      <c r="AB15" s="2882"/>
      <c r="AC15" s="2882"/>
      <c r="AD15" s="2882"/>
      <c r="AE15" s="2882"/>
      <c r="AF15" s="2882"/>
      <c r="AG15" s="2882"/>
      <c r="AH15" s="2882"/>
      <c r="AI15" s="2882"/>
      <c r="AJ15" s="2882"/>
      <c r="AK15" s="2882"/>
      <c r="AL15" s="2882"/>
      <c r="AM15" s="2884"/>
      <c r="AN15" s="2884"/>
      <c r="AO15" s="2202"/>
      <c r="AP15" s="1361"/>
      <c r="AR15" s="1351"/>
    </row>
    <row r="16" spans="1:59" s="3" customFormat="1" ht="45" customHeight="1" x14ac:dyDescent="0.2">
      <c r="A16" s="889"/>
      <c r="B16" s="1362"/>
      <c r="C16" s="258"/>
      <c r="D16" s="895"/>
      <c r="E16" s="895"/>
      <c r="F16" s="895"/>
      <c r="G16" s="2889" t="s">
        <v>1195</v>
      </c>
      <c r="H16" s="2889">
        <v>25.4</v>
      </c>
      <c r="I16" s="2303" t="s">
        <v>1196</v>
      </c>
      <c r="J16" s="2891" t="s">
        <v>1197</v>
      </c>
      <c r="K16" s="2307">
        <v>200</v>
      </c>
      <c r="L16" s="2306"/>
      <c r="M16" s="2681"/>
      <c r="N16" s="2419"/>
      <c r="O16" s="2886">
        <f>SUM(T16:T26)/P11</f>
        <v>0.93059798845797859</v>
      </c>
      <c r="P16" s="2440"/>
      <c r="Q16" s="2267"/>
      <c r="R16" s="2892"/>
      <c r="S16" s="908" t="s">
        <v>1198</v>
      </c>
      <c r="T16" s="1363">
        <v>68800000</v>
      </c>
      <c r="U16" s="1158">
        <v>83</v>
      </c>
      <c r="V16" s="1364" t="s">
        <v>1199</v>
      </c>
      <c r="W16" s="2894"/>
      <c r="X16" s="2882"/>
      <c r="Y16" s="2882"/>
      <c r="Z16" s="2882"/>
      <c r="AA16" s="2882"/>
      <c r="AB16" s="2882"/>
      <c r="AC16" s="2882"/>
      <c r="AD16" s="2882"/>
      <c r="AE16" s="2882"/>
      <c r="AF16" s="2882"/>
      <c r="AG16" s="2882"/>
      <c r="AH16" s="2882"/>
      <c r="AI16" s="2882"/>
      <c r="AJ16" s="2882"/>
      <c r="AK16" s="2882"/>
      <c r="AL16" s="2882"/>
      <c r="AM16" s="2884"/>
      <c r="AN16" s="2884"/>
      <c r="AO16" s="2202"/>
      <c r="AP16" s="1361"/>
      <c r="AR16" s="1351"/>
    </row>
    <row r="17" spans="1:47" s="3" customFormat="1" ht="36" customHeight="1" x14ac:dyDescent="0.2">
      <c r="A17" s="889"/>
      <c r="B17" s="1362"/>
      <c r="C17" s="258"/>
      <c r="D17" s="895"/>
      <c r="E17" s="895"/>
      <c r="F17" s="895"/>
      <c r="G17" s="2889"/>
      <c r="H17" s="2889"/>
      <c r="I17" s="2303"/>
      <c r="J17" s="2891"/>
      <c r="K17" s="2307"/>
      <c r="L17" s="2306"/>
      <c r="M17" s="2681"/>
      <c r="N17" s="2419"/>
      <c r="O17" s="2886"/>
      <c r="P17" s="2440"/>
      <c r="Q17" s="2267"/>
      <c r="R17" s="2892"/>
      <c r="S17" s="908" t="s">
        <v>1200</v>
      </c>
      <c r="T17" s="1363">
        <f>0+210749741-83749741</f>
        <v>127000000</v>
      </c>
      <c r="U17" s="1158">
        <v>88</v>
      </c>
      <c r="V17" s="1364" t="s">
        <v>655</v>
      </c>
      <c r="W17" s="2894"/>
      <c r="X17" s="2882"/>
      <c r="Y17" s="2882"/>
      <c r="Z17" s="2882"/>
      <c r="AA17" s="2882"/>
      <c r="AB17" s="2882"/>
      <c r="AC17" s="2882"/>
      <c r="AD17" s="2882"/>
      <c r="AE17" s="2882"/>
      <c r="AF17" s="2882"/>
      <c r="AG17" s="2882"/>
      <c r="AH17" s="2882"/>
      <c r="AI17" s="2882"/>
      <c r="AJ17" s="2882"/>
      <c r="AK17" s="2882"/>
      <c r="AL17" s="2882"/>
      <c r="AM17" s="2884"/>
      <c r="AN17" s="2884"/>
      <c r="AO17" s="2202"/>
      <c r="AP17" s="1361"/>
      <c r="AR17" s="1351"/>
    </row>
    <row r="18" spans="1:47" s="3" customFormat="1" ht="57.75" customHeight="1" x14ac:dyDescent="0.2">
      <c r="A18" s="889"/>
      <c r="B18" s="1362"/>
      <c r="C18" s="258"/>
      <c r="D18" s="895"/>
      <c r="E18" s="895"/>
      <c r="F18" s="895"/>
      <c r="G18" s="2889"/>
      <c r="H18" s="2889"/>
      <c r="I18" s="2303"/>
      <c r="J18" s="2891"/>
      <c r="K18" s="2307"/>
      <c r="L18" s="2306"/>
      <c r="M18" s="2681"/>
      <c r="N18" s="2419"/>
      <c r="O18" s="2886"/>
      <c r="P18" s="2440"/>
      <c r="Q18" s="2267"/>
      <c r="R18" s="2892"/>
      <c r="S18" s="908" t="s">
        <v>1201</v>
      </c>
      <c r="T18" s="1363">
        <f>25600000</f>
        <v>25600000</v>
      </c>
      <c r="U18" s="1158">
        <v>39</v>
      </c>
      <c r="V18" s="1364" t="s">
        <v>1202</v>
      </c>
      <c r="W18" s="2894"/>
      <c r="X18" s="2882"/>
      <c r="Y18" s="2882"/>
      <c r="Z18" s="2882"/>
      <c r="AA18" s="2882"/>
      <c r="AB18" s="2882"/>
      <c r="AC18" s="2882"/>
      <c r="AD18" s="2882"/>
      <c r="AE18" s="2882"/>
      <c r="AF18" s="2882"/>
      <c r="AG18" s="2882"/>
      <c r="AH18" s="2882"/>
      <c r="AI18" s="2882"/>
      <c r="AJ18" s="2882"/>
      <c r="AK18" s="2882"/>
      <c r="AL18" s="2882"/>
      <c r="AM18" s="2884"/>
      <c r="AN18" s="2884"/>
      <c r="AO18" s="2202"/>
      <c r="AP18" s="1361"/>
      <c r="AR18" s="1351"/>
    </row>
    <row r="19" spans="1:47" s="3" customFormat="1" ht="65.25" customHeight="1" x14ac:dyDescent="0.2">
      <c r="A19" s="889"/>
      <c r="B19" s="1362"/>
      <c r="C19" s="258"/>
      <c r="D19" s="895"/>
      <c r="E19" s="895"/>
      <c r="F19" s="895"/>
      <c r="G19" s="2889"/>
      <c r="H19" s="2889"/>
      <c r="I19" s="2303"/>
      <c r="J19" s="2426"/>
      <c r="K19" s="2323"/>
      <c r="L19" s="2306"/>
      <c r="M19" s="2681"/>
      <c r="N19" s="2419"/>
      <c r="O19" s="2886"/>
      <c r="P19" s="2440"/>
      <c r="Q19" s="2267"/>
      <c r="R19" s="2892"/>
      <c r="S19" s="908" t="s">
        <v>1203</v>
      </c>
      <c r="T19" s="1360">
        <f>12000000+20000000</f>
        <v>32000000</v>
      </c>
      <c r="U19" s="891">
        <v>39</v>
      </c>
      <c r="V19" s="1658" t="s">
        <v>1202</v>
      </c>
      <c r="W19" s="2894"/>
      <c r="X19" s="2882"/>
      <c r="Y19" s="2882"/>
      <c r="Z19" s="2882"/>
      <c r="AA19" s="2882"/>
      <c r="AB19" s="2882"/>
      <c r="AC19" s="2882"/>
      <c r="AD19" s="2882"/>
      <c r="AE19" s="2882"/>
      <c r="AF19" s="2882"/>
      <c r="AG19" s="2882"/>
      <c r="AH19" s="2882"/>
      <c r="AI19" s="2882"/>
      <c r="AJ19" s="2882"/>
      <c r="AK19" s="2882"/>
      <c r="AL19" s="2882"/>
      <c r="AM19" s="2884"/>
      <c r="AN19" s="2884"/>
      <c r="AO19" s="2202"/>
      <c r="AP19" s="1361"/>
      <c r="AR19" s="1351"/>
      <c r="AU19" s="1367"/>
    </row>
    <row r="20" spans="1:47" s="3" customFormat="1" ht="65.25" customHeight="1" x14ac:dyDescent="0.2">
      <c r="A20" s="889"/>
      <c r="B20" s="1362"/>
      <c r="C20" s="258"/>
      <c r="D20" s="895"/>
      <c r="E20" s="895"/>
      <c r="F20" s="895"/>
      <c r="G20" s="2889"/>
      <c r="H20" s="2889"/>
      <c r="I20" s="2303"/>
      <c r="J20" s="2426"/>
      <c r="K20" s="2323"/>
      <c r="L20" s="2306"/>
      <c r="M20" s="2681"/>
      <c r="N20" s="2419"/>
      <c r="O20" s="2886"/>
      <c r="P20" s="2440"/>
      <c r="Q20" s="2267"/>
      <c r="R20" s="2892"/>
      <c r="S20" s="2885" t="s">
        <v>1204</v>
      </c>
      <c r="T20" s="1360">
        <f>643277703-205517326.92</f>
        <v>437760376.08000004</v>
      </c>
      <c r="U20" s="891">
        <v>39</v>
      </c>
      <c r="V20" s="1658" t="s">
        <v>1202</v>
      </c>
      <c r="W20" s="2894"/>
      <c r="X20" s="2882"/>
      <c r="Y20" s="2882"/>
      <c r="Z20" s="2882"/>
      <c r="AA20" s="2882"/>
      <c r="AB20" s="2882"/>
      <c r="AC20" s="2882"/>
      <c r="AD20" s="2882"/>
      <c r="AE20" s="2882"/>
      <c r="AF20" s="2882"/>
      <c r="AG20" s="2882"/>
      <c r="AH20" s="2882"/>
      <c r="AI20" s="2882"/>
      <c r="AJ20" s="2882"/>
      <c r="AK20" s="2882"/>
      <c r="AL20" s="2882"/>
      <c r="AM20" s="2884"/>
      <c r="AN20" s="2884"/>
      <c r="AO20" s="2202"/>
      <c r="AP20" s="1361"/>
      <c r="AR20" s="1351"/>
    </row>
    <row r="21" spans="1:47" s="3" customFormat="1" ht="65.25" customHeight="1" x14ac:dyDescent="0.2">
      <c r="A21" s="889"/>
      <c r="B21" s="1362"/>
      <c r="C21" s="258"/>
      <c r="D21" s="895"/>
      <c r="E21" s="895"/>
      <c r="F21" s="895"/>
      <c r="G21" s="2889"/>
      <c r="H21" s="2889"/>
      <c r="I21" s="2303"/>
      <c r="J21" s="2426"/>
      <c r="K21" s="2323"/>
      <c r="L21" s="2306"/>
      <c r="M21" s="2681"/>
      <c r="N21" s="2419"/>
      <c r="O21" s="2886"/>
      <c r="P21" s="2440"/>
      <c r="Q21" s="2267"/>
      <c r="R21" s="2892"/>
      <c r="S21" s="2885"/>
      <c r="T21" s="1360">
        <v>177837490.08000001</v>
      </c>
      <c r="U21" s="891">
        <v>83</v>
      </c>
      <c r="V21" s="1658" t="s">
        <v>1199</v>
      </c>
      <c r="W21" s="2894"/>
      <c r="X21" s="2882"/>
      <c r="Y21" s="2882"/>
      <c r="Z21" s="2882"/>
      <c r="AA21" s="2882"/>
      <c r="AB21" s="2882"/>
      <c r="AC21" s="2882"/>
      <c r="AD21" s="2882"/>
      <c r="AE21" s="2882"/>
      <c r="AF21" s="2882"/>
      <c r="AG21" s="2882"/>
      <c r="AH21" s="2882"/>
      <c r="AI21" s="2882"/>
      <c r="AJ21" s="2882"/>
      <c r="AK21" s="2882"/>
      <c r="AL21" s="2882"/>
      <c r="AM21" s="2884"/>
      <c r="AN21" s="2884"/>
      <c r="AO21" s="2202"/>
      <c r="AP21" s="1361"/>
      <c r="AR21" s="1351"/>
    </row>
    <row r="22" spans="1:47" s="3" customFormat="1" ht="65.25" customHeight="1" x14ac:dyDescent="0.2">
      <c r="A22" s="889"/>
      <c r="B22" s="1362"/>
      <c r="C22" s="258"/>
      <c r="D22" s="895"/>
      <c r="E22" s="895"/>
      <c r="F22" s="895"/>
      <c r="G22" s="2889"/>
      <c r="H22" s="2889"/>
      <c r="I22" s="2303"/>
      <c r="J22" s="2426"/>
      <c r="K22" s="2323"/>
      <c r="L22" s="2306"/>
      <c r="M22" s="2681"/>
      <c r="N22" s="2419"/>
      <c r="O22" s="2886"/>
      <c r="P22" s="2440"/>
      <c r="Q22" s="2267"/>
      <c r="R22" s="2892"/>
      <c r="S22" s="908" t="s">
        <v>1205</v>
      </c>
      <c r="T22" s="1360">
        <f>18000000+33539979.92</f>
        <v>51539979.920000002</v>
      </c>
      <c r="U22" s="891">
        <v>39</v>
      </c>
      <c r="V22" s="1658" t="s">
        <v>1202</v>
      </c>
      <c r="W22" s="2894"/>
      <c r="X22" s="2882"/>
      <c r="Y22" s="2882"/>
      <c r="Z22" s="2882"/>
      <c r="AA22" s="2882"/>
      <c r="AB22" s="2882"/>
      <c r="AC22" s="2882"/>
      <c r="AD22" s="2882"/>
      <c r="AE22" s="2882"/>
      <c r="AF22" s="2882"/>
      <c r="AG22" s="2882"/>
      <c r="AH22" s="2882"/>
      <c r="AI22" s="2882"/>
      <c r="AJ22" s="2882"/>
      <c r="AK22" s="2882"/>
      <c r="AL22" s="2882"/>
      <c r="AM22" s="2884"/>
      <c r="AN22" s="2884"/>
      <c r="AO22" s="2202"/>
      <c r="AP22" s="1361"/>
      <c r="AR22" s="1351"/>
    </row>
    <row r="23" spans="1:47" s="3" customFormat="1" ht="65.25" customHeight="1" x14ac:dyDescent="0.2">
      <c r="A23" s="889"/>
      <c r="B23" s="1362"/>
      <c r="C23" s="258"/>
      <c r="D23" s="895"/>
      <c r="E23" s="895"/>
      <c r="F23" s="895"/>
      <c r="G23" s="2889"/>
      <c r="H23" s="2889"/>
      <c r="I23" s="2303"/>
      <c r="J23" s="2426"/>
      <c r="K23" s="2323"/>
      <c r="L23" s="2306"/>
      <c r="M23" s="2681"/>
      <c r="N23" s="2419"/>
      <c r="O23" s="2886"/>
      <c r="P23" s="2440"/>
      <c r="Q23" s="2267"/>
      <c r="R23" s="2892"/>
      <c r="S23" s="908" t="s">
        <v>1206</v>
      </c>
      <c r="T23" s="1360">
        <v>12000000</v>
      </c>
      <c r="U23" s="891">
        <v>41</v>
      </c>
      <c r="V23" s="1658" t="s">
        <v>1207</v>
      </c>
      <c r="W23" s="2894"/>
      <c r="X23" s="2882"/>
      <c r="Y23" s="2882"/>
      <c r="Z23" s="2882"/>
      <c r="AA23" s="2882"/>
      <c r="AB23" s="2882"/>
      <c r="AC23" s="2882"/>
      <c r="AD23" s="2882"/>
      <c r="AE23" s="2882"/>
      <c r="AF23" s="2882"/>
      <c r="AG23" s="2882"/>
      <c r="AH23" s="2882"/>
      <c r="AI23" s="2882"/>
      <c r="AJ23" s="2882"/>
      <c r="AK23" s="2882"/>
      <c r="AL23" s="2882"/>
      <c r="AM23" s="2884"/>
      <c r="AN23" s="2884"/>
      <c r="AO23" s="2202"/>
      <c r="AP23" s="1361"/>
      <c r="AR23" s="1351"/>
    </row>
    <row r="24" spans="1:47" s="3" customFormat="1" ht="65.25" customHeight="1" x14ac:dyDescent="0.2">
      <c r="A24" s="889"/>
      <c r="B24" s="1362"/>
      <c r="C24" s="258"/>
      <c r="D24" s="895"/>
      <c r="E24" s="895"/>
      <c r="F24" s="895"/>
      <c r="G24" s="2890"/>
      <c r="H24" s="2890"/>
      <c r="I24" s="2723"/>
      <c r="J24" s="2426"/>
      <c r="K24" s="2323"/>
      <c r="L24" s="2306"/>
      <c r="M24" s="2681"/>
      <c r="N24" s="2419"/>
      <c r="O24" s="2886"/>
      <c r="P24" s="2440"/>
      <c r="Q24" s="2267"/>
      <c r="R24" s="2892"/>
      <c r="S24" s="908" t="s">
        <v>1208</v>
      </c>
      <c r="T24" s="1360">
        <v>18000000</v>
      </c>
      <c r="U24" s="891">
        <v>41</v>
      </c>
      <c r="V24" s="1658" t="s">
        <v>1207</v>
      </c>
      <c r="W24" s="2894"/>
      <c r="X24" s="2882"/>
      <c r="Y24" s="2882"/>
      <c r="Z24" s="2882"/>
      <c r="AA24" s="2882"/>
      <c r="AB24" s="2882"/>
      <c r="AC24" s="2882"/>
      <c r="AD24" s="2882"/>
      <c r="AE24" s="2882"/>
      <c r="AF24" s="2882"/>
      <c r="AG24" s="2882"/>
      <c r="AH24" s="2882"/>
      <c r="AI24" s="2882"/>
      <c r="AJ24" s="2882"/>
      <c r="AK24" s="2882"/>
      <c r="AL24" s="2882"/>
      <c r="AM24" s="2884"/>
      <c r="AN24" s="2884"/>
      <c r="AO24" s="2202"/>
      <c r="AP24" s="1361"/>
      <c r="AR24" s="1351"/>
    </row>
    <row r="25" spans="1:47" s="3" customFormat="1" ht="65.25" customHeight="1" x14ac:dyDescent="0.2">
      <c r="A25" s="889"/>
      <c r="B25" s="1362"/>
      <c r="C25" s="258"/>
      <c r="D25" s="895"/>
      <c r="E25" s="895"/>
      <c r="F25" s="895"/>
      <c r="G25" s="2890"/>
      <c r="H25" s="2890"/>
      <c r="I25" s="2723"/>
      <c r="J25" s="2426"/>
      <c r="K25" s="2323"/>
      <c r="L25" s="2306"/>
      <c r="M25" s="2681"/>
      <c r="N25" s="2419"/>
      <c r="O25" s="2886"/>
      <c r="P25" s="2440"/>
      <c r="Q25" s="2267"/>
      <c r="R25" s="2892"/>
      <c r="S25" s="2712" t="s">
        <v>1209</v>
      </c>
      <c r="T25" s="1360">
        <v>40994224</v>
      </c>
      <c r="U25" s="891">
        <v>83</v>
      </c>
      <c r="V25" s="1368" t="s">
        <v>1199</v>
      </c>
      <c r="W25" s="2894"/>
      <c r="X25" s="2882"/>
      <c r="Y25" s="2882"/>
      <c r="Z25" s="2882"/>
      <c r="AA25" s="2882"/>
      <c r="AB25" s="2882"/>
      <c r="AC25" s="2882"/>
      <c r="AD25" s="2882"/>
      <c r="AE25" s="2882"/>
      <c r="AF25" s="2882"/>
      <c r="AG25" s="2882"/>
      <c r="AH25" s="2882"/>
      <c r="AI25" s="2882"/>
      <c r="AJ25" s="2882"/>
      <c r="AK25" s="2882"/>
      <c r="AL25" s="2882"/>
      <c r="AM25" s="2884"/>
      <c r="AN25" s="2884"/>
      <c r="AO25" s="2202"/>
      <c r="AP25" s="1361"/>
      <c r="AR25" s="1351"/>
    </row>
    <row r="26" spans="1:47" s="3" customFormat="1" ht="65.25" customHeight="1" x14ac:dyDescent="0.2">
      <c r="A26" s="889"/>
      <c r="B26" s="2387"/>
      <c r="C26" s="2813"/>
      <c r="D26" s="895"/>
      <c r="E26" s="2340"/>
      <c r="F26" s="2340"/>
      <c r="G26" s="2890"/>
      <c r="H26" s="2890"/>
      <c r="I26" s="2723"/>
      <c r="J26" s="2725"/>
      <c r="K26" s="2352"/>
      <c r="L26" s="2307"/>
      <c r="M26" s="2681"/>
      <c r="N26" s="2419"/>
      <c r="O26" s="2887"/>
      <c r="P26" s="2888"/>
      <c r="Q26" s="2267"/>
      <c r="R26" s="2892"/>
      <c r="S26" s="2712"/>
      <c r="T26" s="1369">
        <v>140171010</v>
      </c>
      <c r="U26" s="132">
        <v>41</v>
      </c>
      <c r="V26" s="1651" t="s">
        <v>1207</v>
      </c>
      <c r="W26" s="2894"/>
      <c r="X26" s="2882"/>
      <c r="Y26" s="2882"/>
      <c r="Z26" s="2882"/>
      <c r="AA26" s="2882"/>
      <c r="AB26" s="2882"/>
      <c r="AC26" s="2882"/>
      <c r="AD26" s="2882"/>
      <c r="AE26" s="2882"/>
      <c r="AF26" s="2882"/>
      <c r="AG26" s="2882"/>
      <c r="AH26" s="2882"/>
      <c r="AI26" s="2882"/>
      <c r="AJ26" s="2882"/>
      <c r="AK26" s="2882"/>
      <c r="AL26" s="2882"/>
      <c r="AM26" s="2884"/>
      <c r="AN26" s="2884"/>
      <c r="AO26" s="2202" t="s">
        <v>1210</v>
      </c>
      <c r="AP26" s="1361"/>
      <c r="AR26" s="1351"/>
    </row>
    <row r="27" spans="1:47" s="58" customFormat="1" ht="65.25" customHeight="1" x14ac:dyDescent="0.2">
      <c r="A27" s="700"/>
      <c r="B27" s="2856"/>
      <c r="C27" s="2857"/>
      <c r="D27" s="148"/>
      <c r="E27" s="2858"/>
      <c r="F27" s="2858"/>
      <c r="G27" s="2392" t="s">
        <v>1211</v>
      </c>
      <c r="H27" s="2392">
        <v>25.5</v>
      </c>
      <c r="I27" s="2772" t="s">
        <v>1212</v>
      </c>
      <c r="J27" s="2426" t="s">
        <v>1213</v>
      </c>
      <c r="K27" s="2248">
        <v>958</v>
      </c>
      <c r="L27" s="2872" t="s">
        <v>1214</v>
      </c>
      <c r="M27" s="2873" t="s">
        <v>1215</v>
      </c>
      <c r="N27" s="2874" t="s">
        <v>1216</v>
      </c>
      <c r="O27" s="2865">
        <f>SUM(T27:T29)/P27</f>
        <v>0.53707208677733453</v>
      </c>
      <c r="P27" s="2868">
        <f>SUM(T27:T31)</f>
        <v>204814219</v>
      </c>
      <c r="Q27" s="2875" t="s">
        <v>1217</v>
      </c>
      <c r="R27" s="2877" t="s">
        <v>1218</v>
      </c>
      <c r="S27" s="1370" t="s">
        <v>1219</v>
      </c>
      <c r="T27" s="1371">
        <f>50000000</f>
        <v>50000000</v>
      </c>
      <c r="U27" s="1372">
        <v>34</v>
      </c>
      <c r="V27" s="1706" t="s">
        <v>1220</v>
      </c>
      <c r="W27" s="2880">
        <v>137900</v>
      </c>
      <c r="X27" s="2862">
        <v>133058</v>
      </c>
      <c r="Y27" s="2862">
        <v>63153</v>
      </c>
      <c r="Z27" s="2862">
        <v>20619</v>
      </c>
      <c r="AA27" s="2862">
        <v>144038</v>
      </c>
      <c r="AB27" s="2862">
        <v>43148</v>
      </c>
      <c r="AC27" s="2862">
        <v>999</v>
      </c>
      <c r="AD27" s="2862">
        <v>5926</v>
      </c>
      <c r="AE27" s="2862">
        <v>12</v>
      </c>
      <c r="AF27" s="2862">
        <v>17</v>
      </c>
      <c r="AG27" s="2862"/>
      <c r="AH27" s="2862"/>
      <c r="AI27" s="2862">
        <v>20664</v>
      </c>
      <c r="AJ27" s="2862">
        <v>10224</v>
      </c>
      <c r="AK27" s="2862">
        <v>35264</v>
      </c>
      <c r="AL27" s="2862">
        <f>+W27+X27</f>
        <v>270958</v>
      </c>
      <c r="AM27" s="2863">
        <v>44033</v>
      </c>
      <c r="AN27" s="2863">
        <v>44195</v>
      </c>
      <c r="AO27" s="2864" t="s">
        <v>1191</v>
      </c>
      <c r="AP27" s="148"/>
      <c r="AR27" s="1373"/>
    </row>
    <row r="28" spans="1:47" s="58" customFormat="1" ht="65.25" customHeight="1" x14ac:dyDescent="0.2">
      <c r="A28" s="700"/>
      <c r="B28" s="1374"/>
      <c r="C28" s="1375"/>
      <c r="D28" s="148"/>
      <c r="E28" s="913"/>
      <c r="F28" s="913"/>
      <c r="G28" s="2392"/>
      <c r="H28" s="2392"/>
      <c r="I28" s="2772"/>
      <c r="J28" s="2426"/>
      <c r="K28" s="2248"/>
      <c r="L28" s="2872"/>
      <c r="M28" s="2873"/>
      <c r="N28" s="2874"/>
      <c r="O28" s="2866"/>
      <c r="P28" s="2868"/>
      <c r="Q28" s="2875"/>
      <c r="R28" s="2878"/>
      <c r="S28" s="1376" t="s">
        <v>1221</v>
      </c>
      <c r="T28" s="1371">
        <v>26100000</v>
      </c>
      <c r="U28" s="1372">
        <v>34</v>
      </c>
      <c r="V28" s="1706" t="s">
        <v>1220</v>
      </c>
      <c r="W28" s="2880"/>
      <c r="X28" s="2862"/>
      <c r="Y28" s="2862"/>
      <c r="Z28" s="2862"/>
      <c r="AA28" s="2862"/>
      <c r="AB28" s="2862"/>
      <c r="AC28" s="2862"/>
      <c r="AD28" s="2862"/>
      <c r="AE28" s="2862"/>
      <c r="AF28" s="2862"/>
      <c r="AG28" s="2862"/>
      <c r="AH28" s="2862"/>
      <c r="AI28" s="2862"/>
      <c r="AJ28" s="2862"/>
      <c r="AK28" s="2862"/>
      <c r="AL28" s="2862"/>
      <c r="AM28" s="2863"/>
      <c r="AN28" s="2863"/>
      <c r="AO28" s="2864"/>
      <c r="AP28" s="148"/>
      <c r="AR28" s="1373"/>
    </row>
    <row r="29" spans="1:47" s="58" customFormat="1" ht="65.25" customHeight="1" x14ac:dyDescent="0.2">
      <c r="A29" s="700"/>
      <c r="B29" s="1374"/>
      <c r="C29" s="1375"/>
      <c r="D29" s="148"/>
      <c r="E29" s="913"/>
      <c r="F29" s="913"/>
      <c r="G29" s="2393"/>
      <c r="H29" s="2393"/>
      <c r="I29" s="2871"/>
      <c r="J29" s="2725"/>
      <c r="K29" s="2248"/>
      <c r="L29" s="2872"/>
      <c r="M29" s="2873"/>
      <c r="N29" s="2874"/>
      <c r="O29" s="2867"/>
      <c r="P29" s="2868"/>
      <c r="Q29" s="2875"/>
      <c r="R29" s="2878"/>
      <c r="S29" s="1377" t="s">
        <v>1222</v>
      </c>
      <c r="T29" s="1371">
        <v>33900000</v>
      </c>
      <c r="U29" s="1372">
        <v>34</v>
      </c>
      <c r="V29" s="1706" t="s">
        <v>1220</v>
      </c>
      <c r="W29" s="2880"/>
      <c r="X29" s="2862"/>
      <c r="Y29" s="2862"/>
      <c r="Z29" s="2862"/>
      <c r="AA29" s="2862"/>
      <c r="AB29" s="2862"/>
      <c r="AC29" s="2862"/>
      <c r="AD29" s="2862"/>
      <c r="AE29" s="2862"/>
      <c r="AF29" s="2862"/>
      <c r="AG29" s="2862"/>
      <c r="AH29" s="2862"/>
      <c r="AI29" s="2862"/>
      <c r="AJ29" s="2862"/>
      <c r="AK29" s="2862"/>
      <c r="AL29" s="2862"/>
      <c r="AM29" s="2863"/>
      <c r="AN29" s="2863"/>
      <c r="AO29" s="2864"/>
      <c r="AP29" s="148"/>
      <c r="AR29" s="1373"/>
    </row>
    <row r="30" spans="1:47" s="58" customFormat="1" ht="63.75" customHeight="1" x14ac:dyDescent="0.2">
      <c r="A30" s="700"/>
      <c r="B30" s="1374"/>
      <c r="C30" s="1375"/>
      <c r="D30" s="148"/>
      <c r="E30" s="913"/>
      <c r="F30" s="913"/>
      <c r="G30" s="2392" t="s">
        <v>1223</v>
      </c>
      <c r="H30" s="2392">
        <v>25.9</v>
      </c>
      <c r="I30" s="2772" t="s">
        <v>1224</v>
      </c>
      <c r="J30" s="2426" t="s">
        <v>1225</v>
      </c>
      <c r="K30" s="2248">
        <v>5</v>
      </c>
      <c r="L30" s="2872"/>
      <c r="M30" s="2873"/>
      <c r="N30" s="2874"/>
      <c r="O30" s="2865">
        <f>SUM(T30:T31)/P27</f>
        <v>0.46292791322266547</v>
      </c>
      <c r="P30" s="2868"/>
      <c r="Q30" s="2875"/>
      <c r="R30" s="2878"/>
      <c r="S30" s="2869" t="s">
        <v>1226</v>
      </c>
      <c r="T30" s="932">
        <v>34643209</v>
      </c>
      <c r="U30" s="1378">
        <v>83</v>
      </c>
      <c r="V30" s="1704" t="s">
        <v>1227</v>
      </c>
      <c r="W30" s="2862"/>
      <c r="X30" s="2862"/>
      <c r="Y30" s="2862"/>
      <c r="Z30" s="2862"/>
      <c r="AA30" s="2862"/>
      <c r="AB30" s="2862"/>
      <c r="AC30" s="2862"/>
      <c r="AD30" s="2862"/>
      <c r="AE30" s="2862"/>
      <c r="AF30" s="2862"/>
      <c r="AG30" s="2862"/>
      <c r="AH30" s="2862"/>
      <c r="AI30" s="2862"/>
      <c r="AJ30" s="2862"/>
      <c r="AK30" s="2862"/>
      <c r="AL30" s="2862"/>
      <c r="AM30" s="2863"/>
      <c r="AN30" s="2863"/>
      <c r="AO30" s="2864"/>
      <c r="AP30" s="148"/>
      <c r="AR30" s="1373"/>
    </row>
    <row r="31" spans="1:47" s="58" customFormat="1" ht="45" x14ac:dyDescent="0.2">
      <c r="A31" s="700"/>
      <c r="B31" s="2856"/>
      <c r="C31" s="2857"/>
      <c r="D31" s="148"/>
      <c r="E31" s="2858"/>
      <c r="F31" s="2858"/>
      <c r="G31" s="2392"/>
      <c r="H31" s="2392"/>
      <c r="I31" s="2772"/>
      <c r="J31" s="2426"/>
      <c r="K31" s="2248"/>
      <c r="L31" s="2872"/>
      <c r="M31" s="2873"/>
      <c r="N31" s="2874"/>
      <c r="O31" s="2867"/>
      <c r="P31" s="2868"/>
      <c r="Q31" s="2876"/>
      <c r="R31" s="2879"/>
      <c r="S31" s="2870"/>
      <c r="T31" s="1379">
        <v>60171010</v>
      </c>
      <c r="U31" s="1372">
        <v>34</v>
      </c>
      <c r="V31" s="1706" t="s">
        <v>1220</v>
      </c>
      <c r="W31" s="2862"/>
      <c r="X31" s="2862"/>
      <c r="Y31" s="2862"/>
      <c r="Z31" s="2862"/>
      <c r="AA31" s="2862"/>
      <c r="AB31" s="2862"/>
      <c r="AC31" s="2862"/>
      <c r="AD31" s="2862"/>
      <c r="AE31" s="2862"/>
      <c r="AF31" s="2862"/>
      <c r="AG31" s="2862"/>
      <c r="AH31" s="2862"/>
      <c r="AI31" s="2862"/>
      <c r="AJ31" s="2862"/>
      <c r="AK31" s="2862"/>
      <c r="AL31" s="2862"/>
      <c r="AM31" s="2863"/>
      <c r="AN31" s="2863"/>
      <c r="AO31" s="2864" t="s">
        <v>1210</v>
      </c>
      <c r="AR31" s="1373"/>
    </row>
    <row r="32" spans="1:47" s="4" customFormat="1" ht="120" x14ac:dyDescent="0.2">
      <c r="A32" s="246"/>
      <c r="B32" s="2387"/>
      <c r="C32" s="2813"/>
      <c r="D32" s="117"/>
      <c r="E32" s="2340"/>
      <c r="F32" s="2341"/>
      <c r="G32" s="904" t="s">
        <v>1228</v>
      </c>
      <c r="H32" s="904"/>
      <c r="I32" s="898" t="s">
        <v>1229</v>
      </c>
      <c r="J32" s="899" t="s">
        <v>1230</v>
      </c>
      <c r="K32" s="900">
        <v>1</v>
      </c>
      <c r="L32" s="1662" t="s">
        <v>1231</v>
      </c>
      <c r="M32" s="905" t="s">
        <v>1232</v>
      </c>
      <c r="N32" s="901" t="s">
        <v>1233</v>
      </c>
      <c r="O32" s="1380">
        <f>+T32/P32</f>
        <v>1</v>
      </c>
      <c r="P32" s="1381">
        <f>+T32</f>
        <v>18000000</v>
      </c>
      <c r="Q32" s="1382" t="s">
        <v>1234</v>
      </c>
      <c r="R32" s="906" t="s">
        <v>1235</v>
      </c>
      <c r="S32" s="1383" t="s">
        <v>1229</v>
      </c>
      <c r="T32" s="1384">
        <v>18000000</v>
      </c>
      <c r="U32" s="587">
        <v>88</v>
      </c>
      <c r="V32" s="1651" t="s">
        <v>363</v>
      </c>
      <c r="W32" s="1385">
        <v>763.40206894654307</v>
      </c>
      <c r="X32" s="1386">
        <v>736.59793105345693</v>
      </c>
      <c r="Y32" s="1386">
        <v>0</v>
      </c>
      <c r="Z32" s="1386">
        <v>114.14456488843646</v>
      </c>
      <c r="AA32" s="1386">
        <v>797.38183343879825</v>
      </c>
      <c r="AB32" s="1386">
        <v>0</v>
      </c>
      <c r="AC32" s="1386">
        <v>0</v>
      </c>
      <c r="AD32" s="1386">
        <v>0</v>
      </c>
      <c r="AE32" s="1386">
        <v>0</v>
      </c>
      <c r="AF32" s="1386">
        <v>9.5434286185930056E-2</v>
      </c>
      <c r="AG32" s="1386">
        <v>0</v>
      </c>
      <c r="AH32" s="1386">
        <v>0</v>
      </c>
      <c r="AI32" s="1386">
        <v>0</v>
      </c>
      <c r="AJ32" s="1386">
        <v>0</v>
      </c>
      <c r="AK32" s="1386">
        <v>0</v>
      </c>
      <c r="AL32" s="1386">
        <f>+W32+X32</f>
        <v>1500</v>
      </c>
      <c r="AM32" s="894">
        <v>44033</v>
      </c>
      <c r="AN32" s="894">
        <v>44195</v>
      </c>
      <c r="AO32" s="1142" t="s">
        <v>1191</v>
      </c>
      <c r="AR32" s="1387"/>
    </row>
    <row r="33" spans="1:44" s="4" customFormat="1" ht="66.75" customHeight="1" x14ac:dyDescent="0.2">
      <c r="A33" s="246"/>
      <c r="B33" s="1362"/>
      <c r="C33" s="258"/>
      <c r="D33" s="2859"/>
      <c r="E33" s="2860"/>
      <c r="F33" s="2861"/>
      <c r="G33" s="2416" t="s">
        <v>1236</v>
      </c>
      <c r="H33" s="2416">
        <v>25.7</v>
      </c>
      <c r="I33" s="2693" t="s">
        <v>1237</v>
      </c>
      <c r="J33" s="2285" t="s">
        <v>1238</v>
      </c>
      <c r="K33" s="2196">
        <v>30</v>
      </c>
      <c r="L33" s="2260" t="s">
        <v>1239</v>
      </c>
      <c r="M33" s="2190" t="s">
        <v>1240</v>
      </c>
      <c r="N33" s="2285" t="s">
        <v>1241</v>
      </c>
      <c r="O33" s="2533">
        <f>SUM(T33:T34)/P33</f>
        <v>0.86067536006952761</v>
      </c>
      <c r="P33" s="2823">
        <f>SUM(T33:T34)+T35</f>
        <v>1191684472.2</v>
      </c>
      <c r="Q33" s="2693" t="s">
        <v>1242</v>
      </c>
      <c r="R33" s="2693" t="s">
        <v>1243</v>
      </c>
      <c r="S33" s="2693" t="s">
        <v>1244</v>
      </c>
      <c r="T33" s="1388">
        <v>131920481.45999999</v>
      </c>
      <c r="U33" s="587">
        <v>33</v>
      </c>
      <c r="V33" s="1651" t="s">
        <v>1245</v>
      </c>
      <c r="W33" s="2853">
        <v>26</v>
      </c>
      <c r="X33" s="2820">
        <v>26</v>
      </c>
      <c r="Y33" s="2820">
        <v>0</v>
      </c>
      <c r="Z33" s="2820">
        <v>0</v>
      </c>
      <c r="AA33" s="2820">
        <v>52</v>
      </c>
      <c r="AB33" s="2820">
        <v>0</v>
      </c>
      <c r="AC33" s="2820">
        <v>0</v>
      </c>
      <c r="AD33" s="2820">
        <v>0</v>
      </c>
      <c r="AE33" s="2820">
        <v>0</v>
      </c>
      <c r="AF33" s="2820">
        <v>0</v>
      </c>
      <c r="AG33" s="2820">
        <v>0</v>
      </c>
      <c r="AH33" s="2820">
        <v>0</v>
      </c>
      <c r="AI33" s="2820">
        <v>0</v>
      </c>
      <c r="AJ33" s="2820">
        <v>0</v>
      </c>
      <c r="AK33" s="2820">
        <v>0</v>
      </c>
      <c r="AL33" s="2820">
        <v>52</v>
      </c>
      <c r="AM33" s="2289">
        <v>43832</v>
      </c>
      <c r="AN33" s="2289">
        <v>44195</v>
      </c>
      <c r="AO33" s="2271" t="s">
        <v>1191</v>
      </c>
      <c r="AR33" s="1387"/>
    </row>
    <row r="34" spans="1:44" s="4" customFormat="1" ht="39.75" customHeight="1" x14ac:dyDescent="0.2">
      <c r="A34" s="246"/>
      <c r="B34" s="2387"/>
      <c r="C34" s="2813"/>
      <c r="D34" s="2859"/>
      <c r="E34" s="2860"/>
      <c r="F34" s="2861"/>
      <c r="G34" s="2417"/>
      <c r="H34" s="2417"/>
      <c r="I34" s="2752"/>
      <c r="J34" s="2286"/>
      <c r="K34" s="2197"/>
      <c r="L34" s="2261"/>
      <c r="M34" s="2191"/>
      <c r="N34" s="2286"/>
      <c r="O34" s="2534"/>
      <c r="P34" s="2824"/>
      <c r="Q34" s="2752"/>
      <c r="R34" s="2752"/>
      <c r="S34" s="2752"/>
      <c r="T34" s="1389">
        <v>893732980.74000001</v>
      </c>
      <c r="U34" s="587">
        <v>83</v>
      </c>
      <c r="V34" s="1651" t="s">
        <v>1246</v>
      </c>
      <c r="W34" s="2854"/>
      <c r="X34" s="2821"/>
      <c r="Y34" s="2821"/>
      <c r="Z34" s="2821"/>
      <c r="AA34" s="2821"/>
      <c r="AB34" s="2821"/>
      <c r="AC34" s="2821"/>
      <c r="AD34" s="2821"/>
      <c r="AE34" s="2821"/>
      <c r="AF34" s="2821"/>
      <c r="AG34" s="2821"/>
      <c r="AH34" s="2821"/>
      <c r="AI34" s="2821"/>
      <c r="AJ34" s="2821"/>
      <c r="AK34" s="2821"/>
      <c r="AL34" s="2821"/>
      <c r="AM34" s="2290"/>
      <c r="AN34" s="2290"/>
      <c r="AO34" s="2272"/>
      <c r="AR34" s="1387"/>
    </row>
    <row r="35" spans="1:44" s="4" customFormat="1" ht="39.75" customHeight="1" x14ac:dyDescent="0.2">
      <c r="A35" s="246"/>
      <c r="B35" s="1362"/>
      <c r="C35" s="258"/>
      <c r="D35" s="2859"/>
      <c r="E35" s="2860"/>
      <c r="F35" s="2861"/>
      <c r="G35" s="2682"/>
      <c r="H35" s="2682"/>
      <c r="I35" s="2694"/>
      <c r="J35" s="2313"/>
      <c r="K35" s="2811"/>
      <c r="L35" s="2262"/>
      <c r="M35" s="2257"/>
      <c r="N35" s="2313"/>
      <c r="O35" s="2535"/>
      <c r="P35" s="2825"/>
      <c r="Q35" s="2694"/>
      <c r="R35" s="2694"/>
      <c r="S35" s="2694"/>
      <c r="T35" s="1389">
        <v>166031010</v>
      </c>
      <c r="U35" s="587">
        <v>88</v>
      </c>
      <c r="V35" s="1648" t="s">
        <v>466</v>
      </c>
      <c r="W35" s="2855"/>
      <c r="X35" s="2822"/>
      <c r="Y35" s="2822"/>
      <c r="Z35" s="2822"/>
      <c r="AA35" s="2822"/>
      <c r="AB35" s="2822"/>
      <c r="AC35" s="2822"/>
      <c r="AD35" s="2822"/>
      <c r="AE35" s="2822"/>
      <c r="AF35" s="2822"/>
      <c r="AG35" s="2822"/>
      <c r="AH35" s="2822"/>
      <c r="AI35" s="2822"/>
      <c r="AJ35" s="2822"/>
      <c r="AK35" s="2822"/>
      <c r="AL35" s="2822"/>
      <c r="AM35" s="2291"/>
      <c r="AN35" s="2291"/>
      <c r="AO35" s="2273"/>
      <c r="AR35" s="1387"/>
    </row>
    <row r="36" spans="1:44" s="4" customFormat="1" ht="15.75" x14ac:dyDescent="0.2">
      <c r="A36" s="246"/>
      <c r="B36" s="2387"/>
      <c r="C36" s="2813"/>
      <c r="D36" s="1390">
        <v>26</v>
      </c>
      <c r="E36" s="1391" t="s">
        <v>1247</v>
      </c>
      <c r="F36" s="511"/>
      <c r="G36" s="1392"/>
      <c r="H36" s="1392"/>
      <c r="I36" s="529"/>
      <c r="J36" s="513"/>
      <c r="K36" s="1392"/>
      <c r="L36" s="529"/>
      <c r="M36" s="1393"/>
      <c r="N36" s="529"/>
      <c r="O36" s="1394"/>
      <c r="P36" s="1395"/>
      <c r="Q36" s="1396"/>
      <c r="R36" s="1396"/>
      <c r="S36" s="529"/>
      <c r="T36" s="1397"/>
      <c r="U36" s="1398"/>
      <c r="V36" s="1399"/>
      <c r="W36" s="1400"/>
      <c r="X36" s="1401"/>
      <c r="Y36" s="1401"/>
      <c r="Z36" s="1401"/>
      <c r="AA36" s="1401"/>
      <c r="AB36" s="1401"/>
      <c r="AC36" s="1401"/>
      <c r="AD36" s="1401"/>
      <c r="AE36" s="1401"/>
      <c r="AF36" s="1401"/>
      <c r="AG36" s="1401"/>
      <c r="AH36" s="1401"/>
      <c r="AI36" s="1401"/>
      <c r="AJ36" s="1401"/>
      <c r="AK36" s="1401"/>
      <c r="AL36" s="1401"/>
      <c r="AM36" s="1402"/>
      <c r="AN36" s="1403"/>
      <c r="AO36" s="1404"/>
      <c r="AR36" s="1387"/>
    </row>
    <row r="37" spans="1:44" s="58" customFormat="1" ht="56.25" customHeight="1" x14ac:dyDescent="0.2">
      <c r="A37" s="700"/>
      <c r="B37" s="1374"/>
      <c r="C37" s="1375"/>
      <c r="D37" s="1405"/>
      <c r="E37" s="53"/>
      <c r="F37" s="315"/>
      <c r="G37" s="2840" t="s">
        <v>1248</v>
      </c>
      <c r="H37" s="2843">
        <v>26.1</v>
      </c>
      <c r="I37" s="2772" t="s">
        <v>1249</v>
      </c>
      <c r="J37" s="2846" t="s">
        <v>1250</v>
      </c>
      <c r="K37" s="2849">
        <v>12</v>
      </c>
      <c r="L37" s="2263" t="s">
        <v>1251</v>
      </c>
      <c r="M37" s="2852" t="s">
        <v>1252</v>
      </c>
      <c r="N37" s="2745" t="s">
        <v>1253</v>
      </c>
      <c r="O37" s="2812">
        <f>SUM(T37:T39)/P37</f>
        <v>8.3416675147361979E-2</v>
      </c>
      <c r="P37" s="2823">
        <f>SUM(T37:T43)</f>
        <v>405194764</v>
      </c>
      <c r="Q37" s="2826" t="s">
        <v>1254</v>
      </c>
      <c r="R37" s="2829" t="s">
        <v>1255</v>
      </c>
      <c r="S37" s="907" t="s">
        <v>1256</v>
      </c>
      <c r="T37" s="1406">
        <f>4800000</f>
        <v>4800000</v>
      </c>
      <c r="U37" s="1407">
        <v>20</v>
      </c>
      <c r="V37" s="1707" t="s">
        <v>1257</v>
      </c>
      <c r="W37" s="2832">
        <v>85278</v>
      </c>
      <c r="X37" s="2820">
        <v>85277</v>
      </c>
      <c r="Y37" s="2820">
        <v>17056</v>
      </c>
      <c r="Z37" s="2820">
        <v>34111</v>
      </c>
      <c r="AA37" s="2820">
        <v>85278</v>
      </c>
      <c r="AB37" s="2820">
        <v>25582</v>
      </c>
      <c r="AC37" s="2820">
        <v>4264</v>
      </c>
      <c r="AD37" s="2820">
        <v>4264</v>
      </c>
      <c r="AE37" s="2820">
        <v>0</v>
      </c>
      <c r="AF37" s="2820">
        <v>0</v>
      </c>
      <c r="AG37" s="2820">
        <v>0</v>
      </c>
      <c r="AH37" s="2820">
        <v>0</v>
      </c>
      <c r="AI37" s="2820">
        <v>0</v>
      </c>
      <c r="AJ37" s="2820">
        <v>0</v>
      </c>
      <c r="AK37" s="2820">
        <v>0</v>
      </c>
      <c r="AL37" s="2820">
        <v>170555</v>
      </c>
      <c r="AM37" s="2837">
        <v>43832</v>
      </c>
      <c r="AN37" s="2837">
        <v>44195</v>
      </c>
      <c r="AO37" s="2271" t="s">
        <v>1191</v>
      </c>
      <c r="AR37" s="1373"/>
    </row>
    <row r="38" spans="1:44" s="58" customFormat="1" ht="56.25" customHeight="1" x14ac:dyDescent="0.2">
      <c r="A38" s="700"/>
      <c r="B38" s="1374"/>
      <c r="C38" s="1375"/>
      <c r="D38" s="1892"/>
      <c r="E38" s="53"/>
      <c r="F38" s="315"/>
      <c r="G38" s="2841"/>
      <c r="H38" s="2844"/>
      <c r="I38" s="2772"/>
      <c r="J38" s="2847"/>
      <c r="K38" s="2850"/>
      <c r="L38" s="2263"/>
      <c r="M38" s="2852"/>
      <c r="N38" s="2745"/>
      <c r="O38" s="2812"/>
      <c r="P38" s="2824"/>
      <c r="Q38" s="2827"/>
      <c r="R38" s="2830"/>
      <c r="S38" s="907" t="s">
        <v>1258</v>
      </c>
      <c r="T38" s="1406">
        <f>9000000</f>
        <v>9000000</v>
      </c>
      <c r="U38" s="1407">
        <v>20</v>
      </c>
      <c r="V38" s="1707" t="s">
        <v>1257</v>
      </c>
      <c r="W38" s="2833"/>
      <c r="X38" s="2821"/>
      <c r="Y38" s="2821"/>
      <c r="Z38" s="2821"/>
      <c r="AA38" s="2821"/>
      <c r="AB38" s="2821"/>
      <c r="AC38" s="2821"/>
      <c r="AD38" s="2821"/>
      <c r="AE38" s="2821"/>
      <c r="AF38" s="2821"/>
      <c r="AG38" s="2821"/>
      <c r="AH38" s="2821"/>
      <c r="AI38" s="2821"/>
      <c r="AJ38" s="2821"/>
      <c r="AK38" s="2821"/>
      <c r="AL38" s="2821"/>
      <c r="AM38" s="2838"/>
      <c r="AN38" s="2838"/>
      <c r="AO38" s="2272"/>
      <c r="AR38" s="1373"/>
    </row>
    <row r="39" spans="1:44" s="4" customFormat="1" ht="56.25" customHeight="1" x14ac:dyDescent="0.2">
      <c r="A39" s="246"/>
      <c r="B39" s="2387"/>
      <c r="C39" s="2813"/>
      <c r="D39" s="845"/>
      <c r="E39" s="2340"/>
      <c r="F39" s="2341"/>
      <c r="G39" s="2842"/>
      <c r="H39" s="2845"/>
      <c r="I39" s="2772"/>
      <c r="J39" s="2848"/>
      <c r="K39" s="2851"/>
      <c r="L39" s="2263"/>
      <c r="M39" s="2852"/>
      <c r="N39" s="2745"/>
      <c r="O39" s="2812"/>
      <c r="P39" s="2824"/>
      <c r="Q39" s="2827"/>
      <c r="R39" s="2830"/>
      <c r="S39" s="909" t="s">
        <v>1259</v>
      </c>
      <c r="T39" s="1408">
        <v>20000000</v>
      </c>
      <c r="U39" s="1409">
        <v>88</v>
      </c>
      <c r="V39" s="1648" t="s">
        <v>655</v>
      </c>
      <c r="W39" s="2833"/>
      <c r="X39" s="2821"/>
      <c r="Y39" s="2821"/>
      <c r="Z39" s="2821"/>
      <c r="AA39" s="2821"/>
      <c r="AB39" s="2821"/>
      <c r="AC39" s="2821"/>
      <c r="AD39" s="2821"/>
      <c r="AE39" s="2821"/>
      <c r="AF39" s="2821"/>
      <c r="AG39" s="2821"/>
      <c r="AH39" s="2821"/>
      <c r="AI39" s="2821"/>
      <c r="AJ39" s="2821"/>
      <c r="AK39" s="2821"/>
      <c r="AL39" s="2821"/>
      <c r="AM39" s="2838"/>
      <c r="AN39" s="2838"/>
      <c r="AO39" s="2272"/>
      <c r="AR39" s="1387"/>
    </row>
    <row r="40" spans="1:44" s="4" customFormat="1" ht="45" customHeight="1" x14ac:dyDescent="0.2">
      <c r="A40" s="246"/>
      <c r="B40" s="1362"/>
      <c r="C40" s="258"/>
      <c r="D40" s="117"/>
      <c r="E40" s="895"/>
      <c r="F40" s="896"/>
      <c r="G40" s="2815" t="s">
        <v>1260</v>
      </c>
      <c r="H40" s="2815">
        <v>26.2</v>
      </c>
      <c r="I40" s="2818" t="s">
        <v>1261</v>
      </c>
      <c r="J40" s="2397" t="s">
        <v>1225</v>
      </c>
      <c r="K40" s="2196">
        <v>4</v>
      </c>
      <c r="L40" s="2263"/>
      <c r="M40" s="2852"/>
      <c r="N40" s="2745"/>
      <c r="O40" s="2812">
        <f>SUM(T40:T41)/P37</f>
        <v>0.84590044949346876</v>
      </c>
      <c r="P40" s="2824"/>
      <c r="Q40" s="2827"/>
      <c r="R40" s="2830"/>
      <c r="S40" s="2693" t="s">
        <v>1262</v>
      </c>
      <c r="T40" s="1410">
        <v>123555981</v>
      </c>
      <c r="U40" s="535">
        <v>93</v>
      </c>
      <c r="V40" s="1664" t="s">
        <v>1263</v>
      </c>
      <c r="W40" s="2833"/>
      <c r="X40" s="2821"/>
      <c r="Y40" s="2821"/>
      <c r="Z40" s="2821"/>
      <c r="AA40" s="2821"/>
      <c r="AB40" s="2821"/>
      <c r="AC40" s="2821"/>
      <c r="AD40" s="2821"/>
      <c r="AE40" s="2821"/>
      <c r="AF40" s="2821"/>
      <c r="AG40" s="2821"/>
      <c r="AH40" s="2821"/>
      <c r="AI40" s="2821"/>
      <c r="AJ40" s="2821"/>
      <c r="AK40" s="2821"/>
      <c r="AL40" s="2821"/>
      <c r="AM40" s="2838"/>
      <c r="AN40" s="2838"/>
      <c r="AO40" s="2272"/>
      <c r="AR40" s="1387"/>
    </row>
    <row r="41" spans="1:44" s="4" customFormat="1" ht="30" customHeight="1" x14ac:dyDescent="0.2">
      <c r="A41" s="246"/>
      <c r="B41" s="2387"/>
      <c r="C41" s="2813"/>
      <c r="D41" s="117"/>
      <c r="E41" s="2340"/>
      <c r="F41" s="2341"/>
      <c r="G41" s="2816"/>
      <c r="H41" s="2816"/>
      <c r="I41" s="2752"/>
      <c r="J41" s="2398"/>
      <c r="K41" s="2197"/>
      <c r="L41" s="2263"/>
      <c r="M41" s="2852"/>
      <c r="N41" s="2745"/>
      <c r="O41" s="2812"/>
      <c r="P41" s="2824"/>
      <c r="Q41" s="2827"/>
      <c r="R41" s="2830"/>
      <c r="S41" s="2752"/>
      <c r="T41" s="2814">
        <f>163800000+55398452</f>
        <v>219198452</v>
      </c>
      <c r="U41" s="2835">
        <v>47</v>
      </c>
      <c r="V41" s="2836" t="s">
        <v>1264</v>
      </c>
      <c r="W41" s="2833"/>
      <c r="X41" s="2821"/>
      <c r="Y41" s="2821"/>
      <c r="Z41" s="2821"/>
      <c r="AA41" s="2821"/>
      <c r="AB41" s="2821"/>
      <c r="AC41" s="2821"/>
      <c r="AD41" s="2821"/>
      <c r="AE41" s="2821"/>
      <c r="AF41" s="2821"/>
      <c r="AG41" s="2821"/>
      <c r="AH41" s="2821"/>
      <c r="AI41" s="2821"/>
      <c r="AJ41" s="2821"/>
      <c r="AK41" s="2821"/>
      <c r="AL41" s="2821"/>
      <c r="AM41" s="2838"/>
      <c r="AN41" s="2838"/>
      <c r="AO41" s="2272"/>
      <c r="AR41" s="1387"/>
    </row>
    <row r="42" spans="1:44" s="4" customFormat="1" ht="15.75" x14ac:dyDescent="0.2">
      <c r="A42" s="246"/>
      <c r="B42" s="1362"/>
      <c r="C42" s="258"/>
      <c r="D42" s="117"/>
      <c r="E42" s="895"/>
      <c r="F42" s="896"/>
      <c r="G42" s="2816"/>
      <c r="H42" s="2816"/>
      <c r="I42" s="2752"/>
      <c r="J42" s="2398"/>
      <c r="K42" s="2197"/>
      <c r="L42" s="2263"/>
      <c r="M42" s="2852"/>
      <c r="N42" s="2745"/>
      <c r="O42" s="2812"/>
      <c r="P42" s="2824"/>
      <c r="Q42" s="2827"/>
      <c r="R42" s="2830"/>
      <c r="S42" s="2752"/>
      <c r="T42" s="2814"/>
      <c r="U42" s="2835"/>
      <c r="V42" s="2836"/>
      <c r="W42" s="2833"/>
      <c r="X42" s="2821"/>
      <c r="Y42" s="2821"/>
      <c r="Z42" s="2821"/>
      <c r="AA42" s="2821"/>
      <c r="AB42" s="2821"/>
      <c r="AC42" s="2821"/>
      <c r="AD42" s="2821"/>
      <c r="AE42" s="2821"/>
      <c r="AF42" s="2821"/>
      <c r="AG42" s="2821"/>
      <c r="AH42" s="2821"/>
      <c r="AI42" s="2821"/>
      <c r="AJ42" s="2821"/>
      <c r="AK42" s="2821"/>
      <c r="AL42" s="2821"/>
      <c r="AM42" s="2838"/>
      <c r="AN42" s="2838"/>
      <c r="AO42" s="2272"/>
      <c r="AR42" s="1387"/>
    </row>
    <row r="43" spans="1:44" s="4" customFormat="1" ht="63" customHeight="1" x14ac:dyDescent="0.2">
      <c r="A43" s="246"/>
      <c r="B43" s="1362"/>
      <c r="C43" s="258"/>
      <c r="D43" s="117"/>
      <c r="E43" s="895"/>
      <c r="F43" s="896"/>
      <c r="G43" s="2817"/>
      <c r="H43" s="2817"/>
      <c r="I43" s="2694"/>
      <c r="J43" s="2819"/>
      <c r="K43" s="2811"/>
      <c r="L43" s="2263"/>
      <c r="M43" s="2852"/>
      <c r="N43" s="2745"/>
      <c r="O43" s="2812"/>
      <c r="P43" s="2825"/>
      <c r="Q43" s="2828"/>
      <c r="R43" s="2831"/>
      <c r="S43" s="2694"/>
      <c r="T43" s="1239">
        <v>28640331</v>
      </c>
      <c r="U43" s="535">
        <v>88</v>
      </c>
      <c r="V43" s="1682" t="s">
        <v>655</v>
      </c>
      <c r="W43" s="2834"/>
      <c r="X43" s="2822"/>
      <c r="Y43" s="2822"/>
      <c r="Z43" s="2822"/>
      <c r="AA43" s="2822"/>
      <c r="AB43" s="2822"/>
      <c r="AC43" s="2822"/>
      <c r="AD43" s="2822"/>
      <c r="AE43" s="2822"/>
      <c r="AF43" s="2822"/>
      <c r="AG43" s="2822"/>
      <c r="AH43" s="2822"/>
      <c r="AI43" s="2822"/>
      <c r="AJ43" s="2822"/>
      <c r="AK43" s="2822"/>
      <c r="AL43" s="2822"/>
      <c r="AM43" s="2839"/>
      <c r="AN43" s="2839"/>
      <c r="AO43" s="2273"/>
      <c r="AR43" s="1387"/>
    </row>
    <row r="44" spans="1:44" s="58" customFormat="1" ht="15.75" x14ac:dyDescent="0.2">
      <c r="A44" s="593"/>
      <c r="B44" s="2431"/>
      <c r="C44" s="2809"/>
      <c r="D44" s="134"/>
      <c r="E44" s="134"/>
      <c r="F44" s="135"/>
      <c r="G44" s="595"/>
      <c r="H44" s="595"/>
      <c r="I44" s="906"/>
      <c r="J44" s="906"/>
      <c r="K44" s="1412"/>
      <c r="L44" s="906"/>
      <c r="M44" s="141"/>
      <c r="N44" s="139"/>
      <c r="O44" s="142"/>
      <c r="P44" s="598">
        <f>SUM(P11:P43)</f>
        <v>3035796535.2799997</v>
      </c>
      <c r="Q44" s="139"/>
      <c r="R44" s="139"/>
      <c r="S44" s="139"/>
      <c r="T44" s="598">
        <f>SUM(T11:T43)</f>
        <v>3035796535.2799997</v>
      </c>
      <c r="U44" s="525"/>
      <c r="V44" s="1412"/>
      <c r="W44" s="1413"/>
      <c r="X44" s="1414"/>
      <c r="Y44" s="1414"/>
      <c r="Z44" s="1414"/>
      <c r="AA44" s="1414"/>
      <c r="AB44" s="1413"/>
      <c r="AC44" s="1413"/>
      <c r="AD44" s="1413"/>
      <c r="AE44" s="1413"/>
      <c r="AF44" s="1413"/>
      <c r="AG44" s="1413"/>
      <c r="AH44" s="1413"/>
      <c r="AI44" s="1413"/>
      <c r="AJ44" s="1413"/>
      <c r="AK44" s="1413"/>
      <c r="AL44" s="1413"/>
      <c r="AM44" s="1415"/>
      <c r="AN44" s="1416"/>
      <c r="AO44" s="599"/>
      <c r="AR44" s="1373"/>
    </row>
    <row r="46" spans="1:44" x14ac:dyDescent="0.2">
      <c r="S46" s="1417"/>
      <c r="T46" s="1418"/>
    </row>
    <row r="47" spans="1:44" ht="15.75" x14ac:dyDescent="0.25">
      <c r="P47" s="1421"/>
      <c r="S47" s="1417"/>
      <c r="T47" s="1422"/>
    </row>
    <row r="48" spans="1:44" x14ac:dyDescent="0.2">
      <c r="C48" s="452"/>
      <c r="D48" s="452"/>
      <c r="E48" s="452"/>
      <c r="F48" s="452"/>
      <c r="G48" s="452"/>
      <c r="H48" s="1423"/>
      <c r="S48" s="1417"/>
      <c r="T48" s="1418"/>
    </row>
    <row r="49" spans="3:16" ht="15.75" x14ac:dyDescent="0.25">
      <c r="C49" s="2223" t="s">
        <v>1265</v>
      </c>
      <c r="D49" s="2223"/>
      <c r="E49" s="2223"/>
      <c r="F49" s="2223"/>
      <c r="G49" s="2223"/>
      <c r="H49" s="890"/>
    </row>
    <row r="50" spans="3:16" ht="15.75" x14ac:dyDescent="0.25">
      <c r="C50" s="2810" t="s">
        <v>1266</v>
      </c>
      <c r="D50" s="2810"/>
      <c r="E50" s="2810"/>
      <c r="F50" s="2810"/>
      <c r="G50" s="2810"/>
      <c r="H50" s="1424"/>
      <c r="P50" s="1421"/>
    </row>
    <row r="51" spans="3:16" x14ac:dyDescent="0.2">
      <c r="C51" s="180"/>
      <c r="D51" s="441"/>
      <c r="E51" s="440"/>
      <c r="F51" s="443"/>
      <c r="G51" s="444"/>
      <c r="H51" s="444"/>
    </row>
  </sheetData>
  <sheetProtection password="A60F" sheet="1" objects="1" scenarios="1"/>
  <mergeCells count="204">
    <mergeCell ref="A1:AM4"/>
    <mergeCell ref="A5:K6"/>
    <mergeCell ref="L5:AO5"/>
    <mergeCell ref="W6:AK6"/>
    <mergeCell ref="A7:A8"/>
    <mergeCell ref="B7:C8"/>
    <mergeCell ref="D7:D8"/>
    <mergeCell ref="E7:F8"/>
    <mergeCell ref="G7:G8"/>
    <mergeCell ref="I7:I8"/>
    <mergeCell ref="AN7:AN8"/>
    <mergeCell ref="AO7:AO8"/>
    <mergeCell ref="Y7:AB7"/>
    <mergeCell ref="AC7:AH7"/>
    <mergeCell ref="AI7:AK7"/>
    <mergeCell ref="AL7:AL8"/>
    <mergeCell ref="AM7:AM8"/>
    <mergeCell ref="B10:C10"/>
    <mergeCell ref="E10:M10"/>
    <mergeCell ref="B11:C11"/>
    <mergeCell ref="E11:F11"/>
    <mergeCell ref="G11:G15"/>
    <mergeCell ref="H11:H15"/>
    <mergeCell ref="I11:I15"/>
    <mergeCell ref="J11:J15"/>
    <mergeCell ref="W7:X7"/>
    <mergeCell ref="P7:P8"/>
    <mergeCell ref="Q7:Q8"/>
    <mergeCell ref="R7:R8"/>
    <mergeCell ref="S7:S8"/>
    <mergeCell ref="T7:T8"/>
    <mergeCell ref="V7:V8"/>
    <mergeCell ref="J7:J8"/>
    <mergeCell ref="K7:K8"/>
    <mergeCell ref="L7:L8"/>
    <mergeCell ref="M7:M8"/>
    <mergeCell ref="N7:N8"/>
    <mergeCell ref="O7:O8"/>
    <mergeCell ref="L11:L26"/>
    <mergeCell ref="AO11:AO26"/>
    <mergeCell ref="S13:S14"/>
    <mergeCell ref="G16:G26"/>
    <mergeCell ref="H16:H26"/>
    <mergeCell ref="I16:I26"/>
    <mergeCell ref="J16:J26"/>
    <mergeCell ref="K16:K26"/>
    <mergeCell ref="AF11:AF26"/>
    <mergeCell ref="AG11:AG26"/>
    <mergeCell ref="AH11:AH26"/>
    <mergeCell ref="AI11:AI26"/>
    <mergeCell ref="AJ11:AJ26"/>
    <mergeCell ref="AK11:AK26"/>
    <mergeCell ref="Z11:Z26"/>
    <mergeCell ref="AA11:AA26"/>
    <mergeCell ref="AB11:AB26"/>
    <mergeCell ref="AC11:AC26"/>
    <mergeCell ref="AD11:AD26"/>
    <mergeCell ref="AE11:AE26"/>
    <mergeCell ref="Q11:Q26"/>
    <mergeCell ref="R11:R26"/>
    <mergeCell ref="S11:S12"/>
    <mergeCell ref="W11:W26"/>
    <mergeCell ref="X11:X26"/>
    <mergeCell ref="AL11:AL26"/>
    <mergeCell ref="AM11:AM26"/>
    <mergeCell ref="AN11:AN26"/>
    <mergeCell ref="Y11:Y26"/>
    <mergeCell ref="S20:S21"/>
    <mergeCell ref="S25:S26"/>
    <mergeCell ref="K11:K15"/>
    <mergeCell ref="M11:M26"/>
    <mergeCell ref="N11:N26"/>
    <mergeCell ref="O11:O15"/>
    <mergeCell ref="P11:P26"/>
    <mergeCell ref="O16:O26"/>
    <mergeCell ref="S30:S31"/>
    <mergeCell ref="I27:I29"/>
    <mergeCell ref="J27:J29"/>
    <mergeCell ref="K27:K29"/>
    <mergeCell ref="L27:L31"/>
    <mergeCell ref="M27:M31"/>
    <mergeCell ref="N27:N31"/>
    <mergeCell ref="AK27:AK31"/>
    <mergeCell ref="B26:C26"/>
    <mergeCell ref="E26:F26"/>
    <mergeCell ref="B27:C27"/>
    <mergeCell ref="E27:F27"/>
    <mergeCell ref="G27:G29"/>
    <mergeCell ref="H27:H29"/>
    <mergeCell ref="Q27:Q31"/>
    <mergeCell ref="R27:R31"/>
    <mergeCell ref="W27:W31"/>
    <mergeCell ref="X27:X31"/>
    <mergeCell ref="AL27:AL31"/>
    <mergeCell ref="AM27:AM31"/>
    <mergeCell ref="AN27:AN31"/>
    <mergeCell ref="AO27:AO31"/>
    <mergeCell ref="G30:G31"/>
    <mergeCell ref="H30:H31"/>
    <mergeCell ref="I30:I31"/>
    <mergeCell ref="J30:J31"/>
    <mergeCell ref="K30:K31"/>
    <mergeCell ref="AE27:AE31"/>
    <mergeCell ref="AF27:AF31"/>
    <mergeCell ref="AG27:AG31"/>
    <mergeCell ref="AH27:AH31"/>
    <mergeCell ref="AI27:AI31"/>
    <mergeCell ref="AJ27:AJ31"/>
    <mergeCell ref="Y27:Y31"/>
    <mergeCell ref="Z27:Z31"/>
    <mergeCell ref="AA27:AA31"/>
    <mergeCell ref="AB27:AB31"/>
    <mergeCell ref="AC27:AC31"/>
    <mergeCell ref="AD27:AD31"/>
    <mergeCell ref="O27:O29"/>
    <mergeCell ref="P27:P31"/>
    <mergeCell ref="O30:O31"/>
    <mergeCell ref="H33:H35"/>
    <mergeCell ref="I33:I35"/>
    <mergeCell ref="J33:J35"/>
    <mergeCell ref="K33:K35"/>
    <mergeCell ref="L33:L35"/>
    <mergeCell ref="M33:M35"/>
    <mergeCell ref="B31:C31"/>
    <mergeCell ref="E31:F31"/>
    <mergeCell ref="B32:C32"/>
    <mergeCell ref="E32:F32"/>
    <mergeCell ref="D33:F35"/>
    <mergeCell ref="G33:G35"/>
    <mergeCell ref="Y33:Y35"/>
    <mergeCell ref="Z33:Z35"/>
    <mergeCell ref="AA33:AA35"/>
    <mergeCell ref="AB33:AB35"/>
    <mergeCell ref="N33:N35"/>
    <mergeCell ref="O33:O35"/>
    <mergeCell ref="P33:P35"/>
    <mergeCell ref="Q33:Q35"/>
    <mergeCell ref="R33:R35"/>
    <mergeCell ref="S33:S35"/>
    <mergeCell ref="AO33:AO35"/>
    <mergeCell ref="B34:C34"/>
    <mergeCell ref="B36:C36"/>
    <mergeCell ref="G37:G39"/>
    <mergeCell ref="H37:H39"/>
    <mergeCell ref="I37:I39"/>
    <mergeCell ref="J37:J39"/>
    <mergeCell ref="K37:K39"/>
    <mergeCell ref="L37:L43"/>
    <mergeCell ref="M37:M43"/>
    <mergeCell ref="AI33:AI35"/>
    <mergeCell ref="AJ33:AJ35"/>
    <mergeCell ref="AK33:AK35"/>
    <mergeCell ref="AL33:AL35"/>
    <mergeCell ref="AM33:AM35"/>
    <mergeCell ref="AN33:AN35"/>
    <mergeCell ref="AC33:AC35"/>
    <mergeCell ref="AD33:AD35"/>
    <mergeCell ref="AE33:AE35"/>
    <mergeCell ref="AF33:AF35"/>
    <mergeCell ref="AG33:AG35"/>
    <mergeCell ref="AH33:AH35"/>
    <mergeCell ref="W33:W35"/>
    <mergeCell ref="X33:X35"/>
    <mergeCell ref="AM37:AM43"/>
    <mergeCell ref="AN37:AN43"/>
    <mergeCell ref="AO37:AO43"/>
    <mergeCell ref="AD37:AD43"/>
    <mergeCell ref="AE37:AE43"/>
    <mergeCell ref="AF37:AF43"/>
    <mergeCell ref="AG37:AG43"/>
    <mergeCell ref="AH37:AH43"/>
    <mergeCell ref="AI37:AI43"/>
    <mergeCell ref="B39:C39"/>
    <mergeCell ref="E39:F39"/>
    <mergeCell ref="G40:G43"/>
    <mergeCell ref="H40:H43"/>
    <mergeCell ref="I40:I43"/>
    <mergeCell ref="J40:J43"/>
    <mergeCell ref="AJ37:AJ43"/>
    <mergeCell ref="AK37:AK43"/>
    <mergeCell ref="AL37:AL43"/>
    <mergeCell ref="X37:X43"/>
    <mergeCell ref="Y37:Y43"/>
    <mergeCell ref="Z37:Z43"/>
    <mergeCell ref="AA37:AA43"/>
    <mergeCell ref="AB37:AB43"/>
    <mergeCell ref="AC37:AC43"/>
    <mergeCell ref="N37:N43"/>
    <mergeCell ref="O37:O39"/>
    <mergeCell ref="P37:P43"/>
    <mergeCell ref="Q37:Q43"/>
    <mergeCell ref="R37:R43"/>
    <mergeCell ref="W37:W43"/>
    <mergeCell ref="U41:U42"/>
    <mergeCell ref="V41:V42"/>
    <mergeCell ref="B44:C44"/>
    <mergeCell ref="C49:G49"/>
    <mergeCell ref="C50:G50"/>
    <mergeCell ref="K40:K43"/>
    <mergeCell ref="O40:O43"/>
    <mergeCell ref="S40:S43"/>
    <mergeCell ref="B41:C41"/>
    <mergeCell ref="E41:F41"/>
    <mergeCell ref="T41:T42"/>
  </mergeCells>
  <pageMargins left="0.7" right="0.7" top="0.75" bottom="0.75" header="0.3" footer="0.3"/>
  <pageSetup paperSize="5" scale="17"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H56"/>
  <sheetViews>
    <sheetView showGridLines="0" zoomScale="60" zoomScaleNormal="60" workbookViewId="0">
      <selection sqref="A1:AM4"/>
    </sheetView>
  </sheetViews>
  <sheetFormatPr baseColWidth="10" defaultRowHeight="15" x14ac:dyDescent="0.25"/>
  <cols>
    <col min="1" max="1" width="16.85546875" customWidth="1"/>
    <col min="2" max="2" width="6.140625" customWidth="1"/>
    <col min="3" max="3" width="15.140625" customWidth="1"/>
    <col min="4" max="4" width="18.5703125" customWidth="1"/>
    <col min="5" max="5" width="6.42578125" customWidth="1"/>
    <col min="6" max="6" width="14" customWidth="1"/>
    <col min="7" max="7" width="14.28515625" customWidth="1"/>
    <col min="8" max="8" width="23.28515625" customWidth="1"/>
    <col min="9" max="9" width="34" customWidth="1"/>
    <col min="10" max="10" width="31.7109375" customWidth="1"/>
    <col min="11" max="11" width="26.140625" customWidth="1"/>
    <col min="12" max="12" width="36.42578125" style="343" customWidth="1"/>
    <col min="13" max="13" width="23.85546875" customWidth="1"/>
    <col min="14" max="14" width="36.7109375" style="343" customWidth="1"/>
    <col min="15" max="15" width="20.5703125" customWidth="1"/>
    <col min="16" max="16" width="29.5703125" customWidth="1"/>
    <col min="17" max="17" width="31.28515625" style="343" customWidth="1"/>
    <col min="18" max="18" width="38.140625" style="343" customWidth="1"/>
    <col min="19" max="19" width="50.85546875" style="343" customWidth="1"/>
    <col min="20" max="20" width="31.28515625" customWidth="1"/>
    <col min="21" max="21" width="21.140625" customWidth="1"/>
    <col min="22" max="22" width="28.5703125" customWidth="1"/>
    <col min="23" max="23" width="13.140625" customWidth="1"/>
    <col min="24" max="25" width="12.7109375" bestFit="1" customWidth="1"/>
    <col min="26" max="26" width="11.42578125" bestFit="1" customWidth="1"/>
    <col min="27" max="27" width="12.7109375" bestFit="1" customWidth="1"/>
    <col min="28" max="28" width="12.5703125" customWidth="1"/>
    <col min="29" max="36" width="10" customWidth="1"/>
    <col min="37" max="37" width="11.42578125" bestFit="1" customWidth="1"/>
    <col min="38" max="38" width="12.7109375" bestFit="1" customWidth="1"/>
    <col min="39" max="39" width="20.140625" customWidth="1"/>
    <col min="40" max="40" width="21.140625" customWidth="1"/>
    <col min="41" max="41" width="34.85546875" customWidth="1"/>
  </cols>
  <sheetData>
    <row r="1" spans="1:60" ht="18" customHeight="1" x14ac:dyDescent="0.25">
      <c r="A1" s="2797" t="s">
        <v>947</v>
      </c>
      <c r="B1" s="2797"/>
      <c r="C1" s="2797"/>
      <c r="D1" s="2797"/>
      <c r="E1" s="2797"/>
      <c r="F1" s="2797"/>
      <c r="G1" s="2797"/>
      <c r="H1" s="2797"/>
      <c r="I1" s="2797"/>
      <c r="J1" s="2797"/>
      <c r="K1" s="2797"/>
      <c r="L1" s="2797"/>
      <c r="M1" s="2797"/>
      <c r="N1" s="2797"/>
      <c r="O1" s="2797"/>
      <c r="P1" s="2797"/>
      <c r="Q1" s="2797"/>
      <c r="R1" s="2797"/>
      <c r="S1" s="2797"/>
      <c r="T1" s="2797"/>
      <c r="U1" s="2797"/>
      <c r="V1" s="2797"/>
      <c r="W1" s="2797"/>
      <c r="X1" s="2797"/>
      <c r="Y1" s="2797"/>
      <c r="Z1" s="2797"/>
      <c r="AA1" s="2797"/>
      <c r="AB1" s="2797"/>
      <c r="AC1" s="2797"/>
      <c r="AD1" s="2797"/>
      <c r="AE1" s="2797"/>
      <c r="AF1" s="2797"/>
      <c r="AG1" s="2797"/>
      <c r="AH1" s="2797"/>
      <c r="AI1" s="2797"/>
      <c r="AJ1" s="2797"/>
      <c r="AK1" s="2797"/>
      <c r="AL1" s="2797"/>
      <c r="AM1" s="2798"/>
      <c r="AN1" s="1122" t="s">
        <v>1</v>
      </c>
      <c r="AO1" s="181" t="s">
        <v>948</v>
      </c>
      <c r="AR1" s="180"/>
      <c r="AS1" s="180"/>
      <c r="AT1" s="180"/>
      <c r="AU1" s="180"/>
      <c r="AV1" s="180"/>
      <c r="AW1" s="180"/>
      <c r="AX1" s="180"/>
      <c r="AY1" s="180"/>
      <c r="AZ1" s="180"/>
      <c r="BA1" s="180"/>
      <c r="BB1" s="180"/>
      <c r="BC1" s="180"/>
      <c r="BD1" s="180"/>
      <c r="BE1" s="180"/>
      <c r="BF1" s="180"/>
      <c r="BG1" s="180"/>
      <c r="BH1" s="180"/>
    </row>
    <row r="2" spans="1:60" ht="18" customHeight="1" x14ac:dyDescent="0.25">
      <c r="A2" s="2797"/>
      <c r="B2" s="2797"/>
      <c r="C2" s="2797"/>
      <c r="D2" s="2797"/>
      <c r="E2" s="2797"/>
      <c r="F2" s="2797"/>
      <c r="G2" s="2797"/>
      <c r="H2" s="2797"/>
      <c r="I2" s="2797"/>
      <c r="J2" s="2797"/>
      <c r="K2" s="2797"/>
      <c r="L2" s="2797"/>
      <c r="M2" s="2797"/>
      <c r="N2" s="2797"/>
      <c r="O2" s="2797"/>
      <c r="P2" s="2797"/>
      <c r="Q2" s="2797"/>
      <c r="R2" s="2797"/>
      <c r="S2" s="2797"/>
      <c r="T2" s="2797"/>
      <c r="U2" s="2797"/>
      <c r="V2" s="2797"/>
      <c r="W2" s="2797"/>
      <c r="X2" s="2797"/>
      <c r="Y2" s="2797"/>
      <c r="Z2" s="2797"/>
      <c r="AA2" s="2797"/>
      <c r="AB2" s="2797"/>
      <c r="AC2" s="2797"/>
      <c r="AD2" s="2797"/>
      <c r="AE2" s="2797"/>
      <c r="AF2" s="2797"/>
      <c r="AG2" s="2797"/>
      <c r="AH2" s="2797"/>
      <c r="AI2" s="2797"/>
      <c r="AJ2" s="2797"/>
      <c r="AK2" s="2797"/>
      <c r="AL2" s="2797"/>
      <c r="AM2" s="2798"/>
      <c r="AN2" s="1122" t="s">
        <v>3</v>
      </c>
      <c r="AO2" s="181" t="s">
        <v>4</v>
      </c>
      <c r="AR2" s="180"/>
      <c r="AS2" s="180"/>
      <c r="AT2" s="180"/>
      <c r="AU2" s="180"/>
      <c r="AV2" s="180"/>
      <c r="AW2" s="180"/>
      <c r="AX2" s="180"/>
      <c r="AY2" s="180"/>
      <c r="AZ2" s="180"/>
      <c r="BA2" s="180"/>
      <c r="BB2" s="180"/>
      <c r="BC2" s="180"/>
      <c r="BD2" s="180"/>
      <c r="BE2" s="180"/>
      <c r="BF2" s="180"/>
      <c r="BG2" s="180"/>
      <c r="BH2" s="180"/>
    </row>
    <row r="3" spans="1:60" ht="18" customHeight="1" x14ac:dyDescent="0.25">
      <c r="A3" s="2797"/>
      <c r="B3" s="2797"/>
      <c r="C3" s="2797"/>
      <c r="D3" s="2797"/>
      <c r="E3" s="2797"/>
      <c r="F3" s="2797"/>
      <c r="G3" s="2797"/>
      <c r="H3" s="2797"/>
      <c r="I3" s="2797"/>
      <c r="J3" s="2797"/>
      <c r="K3" s="2797"/>
      <c r="L3" s="2797"/>
      <c r="M3" s="2797"/>
      <c r="N3" s="2797"/>
      <c r="O3" s="2797"/>
      <c r="P3" s="2797"/>
      <c r="Q3" s="2797"/>
      <c r="R3" s="2797"/>
      <c r="S3" s="2797"/>
      <c r="T3" s="2797"/>
      <c r="U3" s="2797"/>
      <c r="V3" s="2797"/>
      <c r="W3" s="2797"/>
      <c r="X3" s="2797"/>
      <c r="Y3" s="2797"/>
      <c r="Z3" s="2797"/>
      <c r="AA3" s="2797"/>
      <c r="AB3" s="2797"/>
      <c r="AC3" s="2797"/>
      <c r="AD3" s="2797"/>
      <c r="AE3" s="2797"/>
      <c r="AF3" s="2797"/>
      <c r="AG3" s="2797"/>
      <c r="AH3" s="2797"/>
      <c r="AI3" s="2797"/>
      <c r="AJ3" s="2797"/>
      <c r="AK3" s="2797"/>
      <c r="AL3" s="2797"/>
      <c r="AM3" s="2798"/>
      <c r="AN3" s="1122" t="s">
        <v>5</v>
      </c>
      <c r="AO3" s="1123" t="s">
        <v>6</v>
      </c>
      <c r="AR3" s="180"/>
      <c r="AS3" s="180"/>
      <c r="AT3" s="180"/>
      <c r="AU3" s="180"/>
      <c r="AV3" s="180"/>
      <c r="AW3" s="180"/>
      <c r="AX3" s="180"/>
      <c r="AY3" s="180"/>
      <c r="AZ3" s="180"/>
      <c r="BA3" s="180"/>
      <c r="BB3" s="180"/>
      <c r="BC3" s="180"/>
      <c r="BD3" s="180"/>
      <c r="BE3" s="180"/>
      <c r="BF3" s="180"/>
      <c r="BG3" s="180"/>
      <c r="BH3" s="180"/>
    </row>
    <row r="4" spans="1:60" ht="18" customHeight="1" x14ac:dyDescent="0.25">
      <c r="A4" s="2799"/>
      <c r="B4" s="2799"/>
      <c r="C4" s="2799"/>
      <c r="D4" s="2799"/>
      <c r="E4" s="2799"/>
      <c r="F4" s="2799"/>
      <c r="G4" s="2799"/>
      <c r="H4" s="2799"/>
      <c r="I4" s="2799"/>
      <c r="J4" s="2799"/>
      <c r="K4" s="2799"/>
      <c r="L4" s="2799"/>
      <c r="M4" s="2799"/>
      <c r="N4" s="2799"/>
      <c r="O4" s="2799"/>
      <c r="P4" s="2799"/>
      <c r="Q4" s="2799"/>
      <c r="R4" s="2799"/>
      <c r="S4" s="2799"/>
      <c r="T4" s="2799"/>
      <c r="U4" s="2799"/>
      <c r="V4" s="2799"/>
      <c r="W4" s="2799"/>
      <c r="X4" s="2799"/>
      <c r="Y4" s="2799"/>
      <c r="Z4" s="2799"/>
      <c r="AA4" s="2799"/>
      <c r="AB4" s="2799"/>
      <c r="AC4" s="2799"/>
      <c r="AD4" s="2799"/>
      <c r="AE4" s="2799"/>
      <c r="AF4" s="2799"/>
      <c r="AG4" s="2799"/>
      <c r="AH4" s="2799"/>
      <c r="AI4" s="2799"/>
      <c r="AJ4" s="2799"/>
      <c r="AK4" s="2799"/>
      <c r="AL4" s="2799"/>
      <c r="AM4" s="2800"/>
      <c r="AN4" s="1122" t="s">
        <v>7</v>
      </c>
      <c r="AO4" s="1124" t="s">
        <v>8</v>
      </c>
      <c r="AR4" s="180"/>
      <c r="AS4" s="180"/>
      <c r="AT4" s="180"/>
      <c r="AU4" s="180"/>
      <c r="AV4" s="180"/>
      <c r="AW4" s="180"/>
      <c r="AX4" s="180"/>
      <c r="AY4" s="180"/>
      <c r="AZ4" s="180"/>
      <c r="BA4" s="180"/>
      <c r="BB4" s="180"/>
      <c r="BC4" s="180"/>
      <c r="BD4" s="180"/>
      <c r="BE4" s="180"/>
      <c r="BF4" s="180"/>
      <c r="BG4" s="180"/>
      <c r="BH4" s="180"/>
    </row>
    <row r="5" spans="1:60" ht="22.5" customHeight="1" x14ac:dyDescent="0.25">
      <c r="A5" s="2235" t="s">
        <v>9</v>
      </c>
      <c r="B5" s="2235"/>
      <c r="C5" s="2235"/>
      <c r="D5" s="2235"/>
      <c r="E5" s="2235"/>
      <c r="F5" s="2235"/>
      <c r="G5" s="2235"/>
      <c r="H5" s="2235"/>
      <c r="I5" s="2235"/>
      <c r="J5" s="2235"/>
      <c r="K5" s="2235"/>
      <c r="L5" s="2236" t="s">
        <v>10</v>
      </c>
      <c r="M5" s="2236"/>
      <c r="N5" s="2236"/>
      <c r="O5" s="2236"/>
      <c r="P5" s="2236"/>
      <c r="Q5" s="2236"/>
      <c r="R5" s="2236"/>
      <c r="S5" s="2236"/>
      <c r="T5" s="2236"/>
      <c r="U5" s="2236"/>
      <c r="V5" s="2236"/>
      <c r="W5" s="2236"/>
      <c r="X5" s="2236"/>
      <c r="Y5" s="2236"/>
      <c r="Z5" s="2236"/>
      <c r="AA5" s="2236"/>
      <c r="AB5" s="2236"/>
      <c r="AC5" s="2236"/>
      <c r="AD5" s="2236"/>
      <c r="AE5" s="2236"/>
      <c r="AF5" s="2236"/>
      <c r="AG5" s="2236"/>
      <c r="AH5" s="2236"/>
      <c r="AI5" s="2236"/>
      <c r="AJ5" s="2236"/>
      <c r="AK5" s="2236"/>
      <c r="AL5" s="2236"/>
      <c r="AM5" s="2236"/>
      <c r="AN5" s="2236"/>
      <c r="AO5" s="2236"/>
      <c r="AP5" s="3"/>
      <c r="AQ5" s="3"/>
      <c r="AR5" s="3"/>
      <c r="AS5" s="3"/>
      <c r="AT5" s="3"/>
      <c r="AU5" s="3"/>
      <c r="AV5" s="3"/>
      <c r="AW5" s="3"/>
      <c r="AX5" s="3"/>
      <c r="AY5" s="3"/>
      <c r="AZ5" s="3"/>
      <c r="BA5" s="3"/>
      <c r="BB5" s="3"/>
      <c r="BC5" s="3"/>
      <c r="BD5" s="3"/>
      <c r="BE5" s="3"/>
      <c r="BF5" s="3"/>
      <c r="BG5" s="3"/>
      <c r="BH5" s="3"/>
    </row>
    <row r="6" spans="1:60" ht="29.25" customHeight="1" x14ac:dyDescent="0.25">
      <c r="A6" s="2233"/>
      <c r="B6" s="2233"/>
      <c r="C6" s="2233"/>
      <c r="D6" s="2233"/>
      <c r="E6" s="2233"/>
      <c r="F6" s="2233"/>
      <c r="G6" s="2233"/>
      <c r="H6" s="2233"/>
      <c r="I6" s="2233"/>
      <c r="J6" s="2233"/>
      <c r="K6" s="2233"/>
      <c r="L6" s="7"/>
      <c r="M6" s="8"/>
      <c r="N6" s="1125"/>
      <c r="O6" s="785"/>
      <c r="P6" s="8"/>
      <c r="Q6" s="1125"/>
      <c r="R6" s="1125"/>
      <c r="S6" s="1125"/>
      <c r="T6" s="8"/>
      <c r="U6" s="8"/>
      <c r="V6" s="8"/>
      <c r="W6" s="2801" t="s">
        <v>11</v>
      </c>
      <c r="X6" s="2802"/>
      <c r="Y6" s="2802"/>
      <c r="Z6" s="2802"/>
      <c r="AA6" s="2802"/>
      <c r="AB6" s="2802"/>
      <c r="AC6" s="2802"/>
      <c r="AD6" s="2802"/>
      <c r="AE6" s="2802"/>
      <c r="AF6" s="2802"/>
      <c r="AG6" s="2802"/>
      <c r="AH6" s="2802"/>
      <c r="AI6" s="2802"/>
      <c r="AJ6" s="2802"/>
      <c r="AK6" s="2802"/>
      <c r="AL6" s="2802"/>
      <c r="AM6" s="785"/>
      <c r="AN6" s="785"/>
      <c r="AO6" s="12"/>
      <c r="AP6" s="3"/>
      <c r="AQ6" s="3"/>
      <c r="AR6" s="3"/>
      <c r="AS6" s="3"/>
      <c r="AT6" s="3"/>
      <c r="AU6" s="3"/>
      <c r="AV6" s="3"/>
      <c r="AW6" s="3"/>
      <c r="AX6" s="3"/>
      <c r="AY6" s="3"/>
      <c r="AZ6" s="3"/>
      <c r="BA6" s="3"/>
      <c r="BB6" s="3"/>
      <c r="BC6" s="3"/>
      <c r="BD6" s="3"/>
      <c r="BE6" s="3"/>
      <c r="BF6" s="3"/>
      <c r="BG6" s="3"/>
      <c r="BH6" s="3"/>
    </row>
    <row r="7" spans="1:60" s="1126" customFormat="1" ht="45" customHeight="1" x14ac:dyDescent="0.25">
      <c r="A7" s="2158" t="s">
        <v>12</v>
      </c>
      <c r="B7" s="2160" t="s">
        <v>13</v>
      </c>
      <c r="C7" s="2161"/>
      <c r="D7" s="2143" t="s">
        <v>12</v>
      </c>
      <c r="E7" s="2160" t="s">
        <v>14</v>
      </c>
      <c r="F7" s="2161"/>
      <c r="G7" s="2143" t="s">
        <v>12</v>
      </c>
      <c r="H7" s="2143" t="s">
        <v>562</v>
      </c>
      <c r="I7" s="2143" t="s">
        <v>15</v>
      </c>
      <c r="J7" s="2143" t="s">
        <v>16</v>
      </c>
      <c r="K7" s="2160" t="s">
        <v>17</v>
      </c>
      <c r="L7" s="2143" t="s">
        <v>18</v>
      </c>
      <c r="M7" s="2143" t="s">
        <v>19</v>
      </c>
      <c r="N7" s="2143" t="s">
        <v>10</v>
      </c>
      <c r="O7" s="2906" t="s">
        <v>20</v>
      </c>
      <c r="P7" s="2469" t="s">
        <v>21</v>
      </c>
      <c r="Q7" s="2143" t="s">
        <v>22</v>
      </c>
      <c r="R7" s="2143" t="s">
        <v>23</v>
      </c>
      <c r="S7" s="2143" t="s">
        <v>24</v>
      </c>
      <c r="T7" s="2469" t="s">
        <v>21</v>
      </c>
      <c r="U7" s="2169" t="s">
        <v>12</v>
      </c>
      <c r="V7" s="2143" t="s">
        <v>25</v>
      </c>
      <c r="W7" s="2185" t="s">
        <v>26</v>
      </c>
      <c r="X7" s="2186"/>
      <c r="Y7" s="2187" t="s">
        <v>27</v>
      </c>
      <c r="Z7" s="2188"/>
      <c r="AA7" s="2188"/>
      <c r="AB7" s="2188"/>
      <c r="AC7" s="2187" t="s">
        <v>28</v>
      </c>
      <c r="AD7" s="2188"/>
      <c r="AE7" s="2188"/>
      <c r="AF7" s="2188"/>
      <c r="AG7" s="2188"/>
      <c r="AH7" s="2188"/>
      <c r="AI7" s="2187" t="s">
        <v>29</v>
      </c>
      <c r="AJ7" s="2188"/>
      <c r="AK7" s="2188"/>
      <c r="AL7" s="764" t="s">
        <v>30</v>
      </c>
      <c r="AM7" s="2173" t="s">
        <v>31</v>
      </c>
      <c r="AN7" s="2173" t="s">
        <v>32</v>
      </c>
      <c r="AO7" s="2239" t="s">
        <v>33</v>
      </c>
      <c r="AP7" s="772"/>
      <c r="AQ7" s="772"/>
      <c r="AR7" s="772"/>
      <c r="AS7" s="772"/>
      <c r="AT7" s="772"/>
      <c r="AU7" s="772"/>
      <c r="AV7" s="772"/>
      <c r="AW7" s="772"/>
      <c r="AX7" s="772"/>
      <c r="AY7" s="772"/>
      <c r="AZ7" s="772"/>
      <c r="BA7" s="772"/>
      <c r="BB7" s="772"/>
      <c r="BC7" s="772"/>
      <c r="BD7" s="772"/>
      <c r="BE7" s="772"/>
      <c r="BF7" s="772"/>
      <c r="BG7" s="772"/>
      <c r="BH7" s="772"/>
    </row>
    <row r="8" spans="1:60" s="1126" customFormat="1" ht="117" customHeight="1" x14ac:dyDescent="0.25">
      <c r="A8" s="2159"/>
      <c r="B8" s="2162"/>
      <c r="C8" s="2163"/>
      <c r="D8" s="2144"/>
      <c r="E8" s="2162"/>
      <c r="F8" s="2163"/>
      <c r="G8" s="2144"/>
      <c r="H8" s="2144"/>
      <c r="I8" s="2144"/>
      <c r="J8" s="2144"/>
      <c r="K8" s="2908"/>
      <c r="L8" s="2144"/>
      <c r="M8" s="2144"/>
      <c r="N8" s="2144"/>
      <c r="O8" s="2907"/>
      <c r="P8" s="2470"/>
      <c r="Q8" s="2144"/>
      <c r="R8" s="2144"/>
      <c r="S8" s="2144"/>
      <c r="T8" s="2471"/>
      <c r="U8" s="2170"/>
      <c r="V8" s="2144"/>
      <c r="W8" s="1127" t="s">
        <v>35</v>
      </c>
      <c r="X8" s="1128" t="s">
        <v>36</v>
      </c>
      <c r="Y8" s="1129" t="s">
        <v>37</v>
      </c>
      <c r="Z8" s="1129" t="s">
        <v>38</v>
      </c>
      <c r="AA8" s="1129" t="s">
        <v>213</v>
      </c>
      <c r="AB8" s="1129" t="s">
        <v>40</v>
      </c>
      <c r="AC8" s="1129" t="s">
        <v>41</v>
      </c>
      <c r="AD8" s="1129" t="s">
        <v>42</v>
      </c>
      <c r="AE8" s="1129" t="s">
        <v>43</v>
      </c>
      <c r="AF8" s="1129" t="s">
        <v>44</v>
      </c>
      <c r="AG8" s="1129" t="s">
        <v>45</v>
      </c>
      <c r="AH8" s="1129" t="s">
        <v>46</v>
      </c>
      <c r="AI8" s="1129" t="s">
        <v>47</v>
      </c>
      <c r="AJ8" s="1129" t="s">
        <v>48</v>
      </c>
      <c r="AK8" s="1129" t="s">
        <v>49</v>
      </c>
      <c r="AL8" s="1129" t="s">
        <v>30</v>
      </c>
      <c r="AM8" s="2174"/>
      <c r="AN8" s="2174"/>
      <c r="AO8" s="2240"/>
      <c r="AP8" s="772"/>
      <c r="AQ8" s="772"/>
      <c r="AR8" s="772"/>
      <c r="AS8" s="772"/>
      <c r="AT8" s="772"/>
      <c r="AU8" s="772"/>
      <c r="AV8" s="772"/>
      <c r="AW8" s="772"/>
      <c r="AX8" s="772"/>
      <c r="AY8" s="772"/>
      <c r="AZ8" s="772"/>
      <c r="BA8" s="772"/>
      <c r="BB8" s="772"/>
      <c r="BC8" s="772"/>
      <c r="BD8" s="772"/>
      <c r="BE8" s="772"/>
      <c r="BF8" s="772"/>
      <c r="BG8" s="772"/>
      <c r="BH8" s="772"/>
    </row>
    <row r="9" spans="1:60" s="4" customFormat="1" ht="30.75" customHeight="1" x14ac:dyDescent="0.2">
      <c r="A9" s="1130">
        <v>2</v>
      </c>
      <c r="B9" s="191" t="s">
        <v>326</v>
      </c>
      <c r="C9" s="192"/>
      <c r="D9" s="193"/>
      <c r="E9" s="194"/>
      <c r="F9" s="194"/>
      <c r="G9" s="292"/>
      <c r="H9" s="292"/>
      <c r="I9" s="193"/>
      <c r="J9" s="193"/>
      <c r="K9" s="195"/>
      <c r="L9" s="288"/>
      <c r="M9" s="196"/>
      <c r="N9" s="288"/>
      <c r="O9" s="198"/>
      <c r="P9" s="199"/>
      <c r="Q9" s="288"/>
      <c r="R9" s="288"/>
      <c r="S9" s="288"/>
      <c r="T9" s="200"/>
      <c r="U9" s="201"/>
      <c r="V9" s="196"/>
      <c r="W9" s="196"/>
      <c r="X9" s="196"/>
      <c r="Y9" s="196"/>
      <c r="Z9" s="196"/>
      <c r="AA9" s="196"/>
      <c r="AB9" s="196"/>
      <c r="AC9" s="196"/>
      <c r="AD9" s="196"/>
      <c r="AE9" s="196"/>
      <c r="AF9" s="196"/>
      <c r="AG9" s="196"/>
      <c r="AH9" s="196"/>
      <c r="AI9" s="196"/>
      <c r="AJ9" s="196"/>
      <c r="AK9" s="196"/>
      <c r="AL9" s="196"/>
      <c r="AM9" s="293"/>
      <c r="AN9" s="293"/>
      <c r="AO9" s="33"/>
      <c r="AP9" s="3"/>
      <c r="AQ9" s="3"/>
      <c r="AR9" s="3"/>
      <c r="AS9" s="3"/>
      <c r="AT9" s="3"/>
      <c r="AU9" s="3"/>
      <c r="AV9" s="3"/>
      <c r="AW9" s="3"/>
      <c r="AX9" s="3"/>
      <c r="AY9" s="3"/>
      <c r="AZ9" s="3"/>
      <c r="BA9" s="3"/>
      <c r="BB9" s="3"/>
      <c r="BC9" s="3"/>
      <c r="BD9" s="3"/>
      <c r="BE9" s="3"/>
      <c r="BF9" s="3"/>
      <c r="BG9" s="3"/>
      <c r="BH9" s="3"/>
    </row>
    <row r="10" spans="1:60" s="4" customFormat="1" ht="23.25" customHeight="1" x14ac:dyDescent="0.2">
      <c r="A10" s="762"/>
      <c r="B10" s="204"/>
      <c r="C10" s="205"/>
      <c r="D10" s="206">
        <v>27</v>
      </c>
      <c r="E10" s="385" t="s">
        <v>460</v>
      </c>
      <c r="F10" s="208"/>
      <c r="G10" s="835"/>
      <c r="H10" s="835"/>
      <c r="I10" s="208"/>
      <c r="J10" s="208"/>
      <c r="K10" s="836"/>
      <c r="L10" s="1131"/>
      <c r="M10" s="213"/>
      <c r="N10" s="1131"/>
      <c r="O10" s="1132"/>
      <c r="P10" s="216"/>
      <c r="Q10" s="1131"/>
      <c r="R10" s="1131"/>
      <c r="S10" s="1131"/>
      <c r="T10" s="218"/>
      <c r="U10" s="219"/>
      <c r="V10" s="213"/>
      <c r="W10" s="213"/>
      <c r="X10" s="213"/>
      <c r="Y10" s="213"/>
      <c r="Z10" s="213"/>
      <c r="AA10" s="213"/>
      <c r="AB10" s="213"/>
      <c r="AC10" s="213"/>
      <c r="AD10" s="213"/>
      <c r="AE10" s="213"/>
      <c r="AF10" s="213"/>
      <c r="AG10" s="213"/>
      <c r="AH10" s="213"/>
      <c r="AI10" s="213"/>
      <c r="AJ10" s="213"/>
      <c r="AK10" s="213"/>
      <c r="AL10" s="213"/>
      <c r="AM10" s="1133"/>
      <c r="AN10" s="1133"/>
      <c r="AO10" s="49"/>
      <c r="AP10" s="3"/>
      <c r="AQ10" s="3"/>
      <c r="AR10" s="3"/>
      <c r="AS10" s="3"/>
      <c r="AT10" s="3"/>
      <c r="AU10" s="3"/>
      <c r="AV10" s="3"/>
      <c r="AW10" s="3"/>
      <c r="AX10" s="3"/>
      <c r="AY10" s="3"/>
      <c r="AZ10" s="3"/>
      <c r="BA10" s="3"/>
      <c r="BB10" s="3"/>
      <c r="BC10" s="3"/>
      <c r="BD10" s="3"/>
      <c r="BE10" s="3"/>
      <c r="BF10" s="3"/>
      <c r="BG10" s="3"/>
      <c r="BH10" s="3"/>
    </row>
    <row r="11" spans="1:60" s="4" customFormat="1" ht="57" customHeight="1" x14ac:dyDescent="0.2">
      <c r="A11" s="758"/>
      <c r="B11" s="772"/>
      <c r="C11" s="774"/>
      <c r="D11" s="1134"/>
      <c r="E11" s="1135"/>
      <c r="F11" s="1135"/>
      <c r="G11" s="2904">
        <v>3502006</v>
      </c>
      <c r="H11" s="2473" t="s">
        <v>949</v>
      </c>
      <c r="I11" s="2247" t="s">
        <v>950</v>
      </c>
      <c r="J11" s="2208" t="s">
        <v>951</v>
      </c>
      <c r="K11" s="2209">
        <v>1</v>
      </c>
      <c r="L11" s="2212" t="s">
        <v>952</v>
      </c>
      <c r="M11" s="2206" t="s">
        <v>953</v>
      </c>
      <c r="N11" s="2208" t="s">
        <v>954</v>
      </c>
      <c r="O11" s="2910">
        <f>T11/P11</f>
        <v>0.4</v>
      </c>
      <c r="P11" s="2912">
        <f>+T11+T13+T14+T15</f>
        <v>75000000</v>
      </c>
      <c r="Q11" s="2171" t="s">
        <v>955</v>
      </c>
      <c r="R11" s="2914" t="s">
        <v>956</v>
      </c>
      <c r="S11" s="2171" t="s">
        <v>957</v>
      </c>
      <c r="T11" s="2918">
        <v>30000000</v>
      </c>
      <c r="U11" s="2920">
        <v>88</v>
      </c>
      <c r="V11" s="2182" t="s">
        <v>466</v>
      </c>
      <c r="W11" s="2881">
        <v>295972</v>
      </c>
      <c r="X11" s="2881">
        <v>285580</v>
      </c>
      <c r="Y11" s="2881">
        <v>135545</v>
      </c>
      <c r="Z11" s="2881">
        <v>44254</v>
      </c>
      <c r="AA11" s="2881">
        <v>309146</v>
      </c>
      <c r="AB11" s="2881">
        <v>92607</v>
      </c>
      <c r="AC11" s="2881"/>
      <c r="AD11" s="2881"/>
      <c r="AE11" s="2881"/>
      <c r="AF11" s="2881"/>
      <c r="AG11" s="2881"/>
      <c r="AH11" s="1136"/>
      <c r="AI11" s="2881"/>
      <c r="AJ11" s="2881"/>
      <c r="AK11" s="2881"/>
      <c r="AL11" s="2881">
        <f>+W11+X11</f>
        <v>581552</v>
      </c>
      <c r="AM11" s="2216">
        <v>43832</v>
      </c>
      <c r="AN11" s="2216">
        <v>44195</v>
      </c>
      <c r="AO11" s="2201" t="s">
        <v>958</v>
      </c>
      <c r="AP11" s="3"/>
      <c r="AQ11" s="3"/>
      <c r="AR11" s="3"/>
      <c r="AS11" s="3"/>
      <c r="AT11" s="3"/>
      <c r="AU11" s="3"/>
      <c r="AV11" s="3"/>
      <c r="AW11" s="3"/>
      <c r="AX11" s="3"/>
      <c r="AY11" s="3"/>
      <c r="AZ11" s="3"/>
      <c r="BA11" s="3"/>
      <c r="BB11" s="3"/>
      <c r="BC11" s="3"/>
      <c r="BD11" s="3"/>
      <c r="BE11" s="3"/>
      <c r="BF11" s="3"/>
      <c r="BG11" s="3"/>
      <c r="BH11" s="3"/>
    </row>
    <row r="12" spans="1:60" s="4" customFormat="1" ht="63" customHeight="1" x14ac:dyDescent="0.2">
      <c r="A12" s="758"/>
      <c r="B12" s="772"/>
      <c r="C12" s="774"/>
      <c r="D12" s="3"/>
      <c r="E12" s="1137"/>
      <c r="F12" s="1137"/>
      <c r="G12" s="2905"/>
      <c r="H12" s="2473"/>
      <c r="I12" s="2247"/>
      <c r="J12" s="2208"/>
      <c r="K12" s="2211"/>
      <c r="L12" s="2212"/>
      <c r="M12" s="2206"/>
      <c r="N12" s="2208"/>
      <c r="O12" s="2911"/>
      <c r="P12" s="2913"/>
      <c r="Q12" s="2172"/>
      <c r="R12" s="2915"/>
      <c r="S12" s="2916"/>
      <c r="T12" s="2919"/>
      <c r="U12" s="2921"/>
      <c r="V12" s="2183"/>
      <c r="W12" s="2882"/>
      <c r="X12" s="2882"/>
      <c r="Y12" s="2882"/>
      <c r="Z12" s="2882"/>
      <c r="AA12" s="2882"/>
      <c r="AB12" s="2882"/>
      <c r="AC12" s="2882"/>
      <c r="AD12" s="2882"/>
      <c r="AE12" s="2882"/>
      <c r="AF12" s="2882"/>
      <c r="AG12" s="2882"/>
      <c r="AH12" s="1138"/>
      <c r="AI12" s="2882"/>
      <c r="AJ12" s="2882"/>
      <c r="AK12" s="2882"/>
      <c r="AL12" s="2882"/>
      <c r="AM12" s="2217"/>
      <c r="AN12" s="2217"/>
      <c r="AO12" s="2202"/>
      <c r="AP12" s="3"/>
      <c r="AQ12" s="3"/>
      <c r="AR12" s="3"/>
      <c r="AS12" s="3"/>
      <c r="AT12" s="3"/>
      <c r="AU12" s="3"/>
      <c r="AV12" s="3"/>
      <c r="AW12" s="3"/>
      <c r="AX12" s="3"/>
      <c r="AY12" s="3"/>
      <c r="AZ12" s="3"/>
      <c r="BA12" s="3"/>
      <c r="BB12" s="3"/>
      <c r="BC12" s="3"/>
      <c r="BD12" s="3"/>
      <c r="BE12" s="3"/>
      <c r="BF12" s="3"/>
      <c r="BG12" s="3"/>
      <c r="BH12" s="3"/>
    </row>
    <row r="13" spans="1:60" s="4" customFormat="1" ht="54" customHeight="1" x14ac:dyDescent="0.2">
      <c r="A13" s="758"/>
      <c r="B13" s="772"/>
      <c r="C13" s="774"/>
      <c r="D13" s="3"/>
      <c r="E13" s="1137"/>
      <c r="F13" s="1137"/>
      <c r="G13" s="2904">
        <v>3502007</v>
      </c>
      <c r="H13" s="2473" t="s">
        <v>467</v>
      </c>
      <c r="I13" s="2247" t="s">
        <v>959</v>
      </c>
      <c r="J13" s="2208" t="s">
        <v>469</v>
      </c>
      <c r="K13" s="2209">
        <v>7</v>
      </c>
      <c r="L13" s="2212"/>
      <c r="M13" s="2206"/>
      <c r="N13" s="2909"/>
      <c r="O13" s="2929">
        <f>(T13+T14+T15)/(P11)</f>
        <v>0.6</v>
      </c>
      <c r="P13" s="2913"/>
      <c r="Q13" s="2172"/>
      <c r="R13" s="2915"/>
      <c r="S13" s="2171" t="s">
        <v>960</v>
      </c>
      <c r="T13" s="1958">
        <v>8000000</v>
      </c>
      <c r="U13" s="1714">
        <v>88</v>
      </c>
      <c r="V13" s="1663" t="s">
        <v>466</v>
      </c>
      <c r="W13" s="2894"/>
      <c r="X13" s="2882"/>
      <c r="Y13" s="2882"/>
      <c r="Z13" s="2882"/>
      <c r="AA13" s="2882"/>
      <c r="AB13" s="2882"/>
      <c r="AC13" s="2882"/>
      <c r="AD13" s="2882"/>
      <c r="AE13" s="2882"/>
      <c r="AF13" s="2882"/>
      <c r="AG13" s="2882"/>
      <c r="AH13" s="1138"/>
      <c r="AI13" s="2882"/>
      <c r="AJ13" s="2882"/>
      <c r="AK13" s="2882"/>
      <c r="AL13" s="2882"/>
      <c r="AM13" s="2217"/>
      <c r="AN13" s="2217"/>
      <c r="AO13" s="2202"/>
      <c r="AP13" s="3"/>
      <c r="AQ13" s="3"/>
      <c r="AR13" s="3"/>
      <c r="AS13" s="3"/>
      <c r="AT13" s="3"/>
      <c r="AU13" s="3"/>
      <c r="AV13" s="3"/>
      <c r="AW13" s="3"/>
      <c r="AX13" s="3"/>
      <c r="AY13" s="3"/>
      <c r="AZ13" s="3"/>
      <c r="BA13" s="3"/>
      <c r="BB13" s="3"/>
      <c r="BC13" s="3"/>
      <c r="BD13" s="3"/>
      <c r="BE13" s="3"/>
      <c r="BF13" s="3"/>
      <c r="BG13" s="3"/>
      <c r="BH13" s="3"/>
    </row>
    <row r="14" spans="1:60" s="4" customFormat="1" ht="54.75" customHeight="1" x14ac:dyDescent="0.2">
      <c r="A14" s="758"/>
      <c r="B14" s="772"/>
      <c r="C14" s="774"/>
      <c r="D14" s="3"/>
      <c r="E14" s="1137"/>
      <c r="F14" s="1137"/>
      <c r="G14" s="2928"/>
      <c r="H14" s="2473"/>
      <c r="I14" s="2247"/>
      <c r="J14" s="2208"/>
      <c r="K14" s="2210"/>
      <c r="L14" s="2212"/>
      <c r="M14" s="2206"/>
      <c r="N14" s="2909"/>
      <c r="O14" s="2929"/>
      <c r="P14" s="2913"/>
      <c r="Q14" s="2172"/>
      <c r="R14" s="2915"/>
      <c r="S14" s="2916"/>
      <c r="T14" s="1140">
        <v>25000000</v>
      </c>
      <c r="U14" s="1708">
        <v>20</v>
      </c>
      <c r="V14" s="1642" t="s">
        <v>70</v>
      </c>
      <c r="W14" s="2882"/>
      <c r="X14" s="2882"/>
      <c r="Y14" s="2882"/>
      <c r="Z14" s="2882"/>
      <c r="AA14" s="2882"/>
      <c r="AB14" s="2882"/>
      <c r="AC14" s="2882"/>
      <c r="AD14" s="2882"/>
      <c r="AE14" s="2882"/>
      <c r="AF14" s="2882"/>
      <c r="AG14" s="2882"/>
      <c r="AH14" s="1138"/>
      <c r="AI14" s="2882"/>
      <c r="AJ14" s="2882"/>
      <c r="AK14" s="2882"/>
      <c r="AL14" s="2882"/>
      <c r="AM14" s="2217"/>
      <c r="AN14" s="2217"/>
      <c r="AO14" s="2202"/>
      <c r="AP14" s="3"/>
      <c r="AQ14" s="3"/>
      <c r="AR14" s="3"/>
      <c r="AS14" s="3"/>
      <c r="AT14" s="3"/>
      <c r="AU14" s="3"/>
      <c r="AV14" s="3"/>
      <c r="AW14" s="3"/>
      <c r="AX14" s="3"/>
      <c r="AY14" s="3"/>
      <c r="AZ14" s="3"/>
      <c r="BA14" s="3"/>
      <c r="BB14" s="3"/>
      <c r="BC14" s="3"/>
      <c r="BD14" s="3"/>
      <c r="BE14" s="3"/>
      <c r="BF14" s="3"/>
      <c r="BG14" s="3"/>
      <c r="BH14" s="3"/>
    </row>
    <row r="15" spans="1:60" s="4" customFormat="1" ht="86.25" customHeight="1" x14ac:dyDescent="0.2">
      <c r="A15" s="758"/>
      <c r="B15" s="772"/>
      <c r="C15" s="774"/>
      <c r="D15" s="1137"/>
      <c r="E15" s="1137"/>
      <c r="F15" s="1137"/>
      <c r="G15" s="2928"/>
      <c r="H15" s="2473"/>
      <c r="I15" s="2247"/>
      <c r="J15" s="2208"/>
      <c r="K15" s="2211"/>
      <c r="L15" s="2212"/>
      <c r="M15" s="2206"/>
      <c r="N15" s="2909"/>
      <c r="O15" s="2929"/>
      <c r="P15" s="2913"/>
      <c r="Q15" s="2172"/>
      <c r="R15" s="2915"/>
      <c r="S15" s="761" t="s">
        <v>961</v>
      </c>
      <c r="T15" s="1959">
        <v>12000000</v>
      </c>
      <c r="U15" s="1714">
        <v>88</v>
      </c>
      <c r="V15" s="1663" t="s">
        <v>466</v>
      </c>
      <c r="W15" s="2922"/>
      <c r="X15" s="2917"/>
      <c r="Y15" s="2917"/>
      <c r="Z15" s="2917"/>
      <c r="AA15" s="2917"/>
      <c r="AB15" s="2917"/>
      <c r="AC15" s="2917"/>
      <c r="AD15" s="2917"/>
      <c r="AE15" s="2917"/>
      <c r="AF15" s="2917"/>
      <c r="AG15" s="2917"/>
      <c r="AH15" s="1141"/>
      <c r="AI15" s="2917"/>
      <c r="AJ15" s="2917"/>
      <c r="AK15" s="2917"/>
      <c r="AL15" s="2917"/>
      <c r="AM15" s="2292"/>
      <c r="AN15" s="2292"/>
      <c r="AO15" s="2927"/>
      <c r="AP15" s="3"/>
      <c r="AQ15" s="3"/>
      <c r="AR15" s="3"/>
      <c r="AS15" s="3"/>
      <c r="AT15" s="3"/>
      <c r="AU15" s="3"/>
      <c r="AV15" s="3"/>
      <c r="AW15" s="3"/>
      <c r="AX15" s="3"/>
      <c r="AY15" s="3"/>
      <c r="AZ15" s="3"/>
      <c r="BA15" s="3"/>
      <c r="BB15" s="3"/>
      <c r="BC15" s="3"/>
      <c r="BD15" s="3"/>
      <c r="BE15" s="3"/>
      <c r="BF15" s="3"/>
      <c r="BG15" s="3"/>
      <c r="BH15" s="3"/>
    </row>
    <row r="16" spans="1:60" s="4" customFormat="1" ht="65.25" customHeight="1" x14ac:dyDescent="0.2">
      <c r="A16" s="758"/>
      <c r="B16" s="772"/>
      <c r="C16" s="774"/>
      <c r="D16" s="1137"/>
      <c r="E16" s="1137"/>
      <c r="F16" s="1137"/>
      <c r="G16" s="2923">
        <v>3502022</v>
      </c>
      <c r="H16" s="2924" t="s">
        <v>962</v>
      </c>
      <c r="I16" s="2356" t="s">
        <v>963</v>
      </c>
      <c r="J16" s="2926" t="s">
        <v>964</v>
      </c>
      <c r="K16" s="2209">
        <v>14</v>
      </c>
      <c r="L16" s="2210" t="s">
        <v>965</v>
      </c>
      <c r="M16" s="2571" t="s">
        <v>966</v>
      </c>
      <c r="N16" s="2926" t="s">
        <v>967</v>
      </c>
      <c r="O16" s="2930">
        <f>(T16+T17+T18)/P16</f>
        <v>0.77251217640918579</v>
      </c>
      <c r="P16" s="2512">
        <f>+T16+T17+T18+T19</f>
        <v>191600000</v>
      </c>
      <c r="Q16" s="2322" t="s">
        <v>968</v>
      </c>
      <c r="R16" s="2932" t="s">
        <v>969</v>
      </c>
      <c r="S16" s="757" t="s">
        <v>970</v>
      </c>
      <c r="T16" s="1143">
        <v>52013333</v>
      </c>
      <c r="U16" s="1708">
        <v>20</v>
      </c>
      <c r="V16" s="1642" t="s">
        <v>70</v>
      </c>
      <c r="W16" s="2881">
        <v>295972</v>
      </c>
      <c r="X16" s="2881">
        <v>285580</v>
      </c>
      <c r="Y16" s="2881">
        <v>135545</v>
      </c>
      <c r="Z16" s="2881">
        <v>44254</v>
      </c>
      <c r="AA16" s="2881">
        <v>309146</v>
      </c>
      <c r="AB16" s="2881">
        <v>92607</v>
      </c>
      <c r="AC16" s="2881"/>
      <c r="AD16" s="2881"/>
      <c r="AE16" s="2881"/>
      <c r="AF16" s="2881"/>
      <c r="AG16" s="2881"/>
      <c r="AH16" s="2881"/>
      <c r="AI16" s="2881"/>
      <c r="AJ16" s="2881"/>
      <c r="AK16" s="2881"/>
      <c r="AL16" s="2881">
        <f>+W16+X16</f>
        <v>581552</v>
      </c>
      <c r="AM16" s="2941">
        <v>43832</v>
      </c>
      <c r="AN16" s="2941">
        <v>44195</v>
      </c>
      <c r="AO16" s="2201" t="s">
        <v>958</v>
      </c>
      <c r="AP16" s="3"/>
      <c r="AQ16" s="3"/>
      <c r="AR16" s="3"/>
      <c r="AS16" s="3"/>
      <c r="AT16" s="3"/>
      <c r="AU16" s="3"/>
      <c r="AV16" s="3"/>
      <c r="AW16" s="3"/>
      <c r="AX16" s="3"/>
      <c r="AY16" s="3"/>
      <c r="AZ16" s="3"/>
      <c r="BA16" s="3"/>
      <c r="BB16" s="3"/>
      <c r="BC16" s="3"/>
      <c r="BD16" s="3"/>
      <c r="BE16" s="3"/>
      <c r="BF16" s="3"/>
      <c r="BG16" s="3"/>
      <c r="BH16" s="3"/>
    </row>
    <row r="17" spans="1:41" s="4" customFormat="1" ht="72.75" customHeight="1" x14ac:dyDescent="0.2">
      <c r="A17" s="758"/>
      <c r="B17" s="772"/>
      <c r="C17" s="774"/>
      <c r="D17" s="1137"/>
      <c r="E17" s="1137"/>
      <c r="F17" s="1137"/>
      <c r="G17" s="2924"/>
      <c r="H17" s="2924"/>
      <c r="I17" s="2356"/>
      <c r="J17" s="2926"/>
      <c r="K17" s="2210"/>
      <c r="L17" s="2210"/>
      <c r="M17" s="2571"/>
      <c r="N17" s="2926"/>
      <c r="O17" s="2930"/>
      <c r="P17" s="2512"/>
      <c r="Q17" s="2926"/>
      <c r="R17" s="2933"/>
      <c r="S17" s="757" t="s">
        <v>971</v>
      </c>
      <c r="T17" s="1960">
        <v>22400000</v>
      </c>
      <c r="U17" s="1714">
        <v>88</v>
      </c>
      <c r="V17" s="1663" t="s">
        <v>466</v>
      </c>
      <c r="W17" s="2894"/>
      <c r="X17" s="2882"/>
      <c r="Y17" s="2882"/>
      <c r="Z17" s="2882"/>
      <c r="AA17" s="2882"/>
      <c r="AB17" s="2882"/>
      <c r="AC17" s="2882"/>
      <c r="AD17" s="2882"/>
      <c r="AE17" s="2882"/>
      <c r="AF17" s="2882"/>
      <c r="AG17" s="2882"/>
      <c r="AH17" s="2882"/>
      <c r="AI17" s="2882"/>
      <c r="AJ17" s="2882"/>
      <c r="AK17" s="2882"/>
      <c r="AL17" s="2882"/>
      <c r="AM17" s="2941"/>
      <c r="AN17" s="2941"/>
      <c r="AO17" s="2202"/>
    </row>
    <row r="18" spans="1:41" s="4" customFormat="1" ht="91.5" customHeight="1" x14ac:dyDescent="0.2">
      <c r="A18" s="758"/>
      <c r="B18" s="772"/>
      <c r="C18" s="774"/>
      <c r="D18" s="1137"/>
      <c r="E18" s="1137"/>
      <c r="F18" s="1137"/>
      <c r="G18" s="2925"/>
      <c r="H18" s="2925"/>
      <c r="I18" s="2320"/>
      <c r="J18" s="2207"/>
      <c r="K18" s="2211"/>
      <c r="L18" s="2210"/>
      <c r="M18" s="2571"/>
      <c r="N18" s="2926"/>
      <c r="O18" s="2931"/>
      <c r="P18" s="2512"/>
      <c r="Q18" s="2926"/>
      <c r="R18" s="2933"/>
      <c r="S18" s="775" t="s">
        <v>972</v>
      </c>
      <c r="T18" s="1960">
        <f>91600000-18000000</f>
        <v>73600000</v>
      </c>
      <c r="U18" s="1714">
        <v>88</v>
      </c>
      <c r="V18" s="1663" t="s">
        <v>466</v>
      </c>
      <c r="W18" s="2894"/>
      <c r="X18" s="2882"/>
      <c r="Y18" s="2882"/>
      <c r="Z18" s="2882"/>
      <c r="AA18" s="2882"/>
      <c r="AB18" s="2882"/>
      <c r="AC18" s="2882"/>
      <c r="AD18" s="2882"/>
      <c r="AE18" s="2882"/>
      <c r="AF18" s="2882"/>
      <c r="AG18" s="2882"/>
      <c r="AH18" s="2882"/>
      <c r="AI18" s="2882"/>
      <c r="AJ18" s="2882"/>
      <c r="AK18" s="2882"/>
      <c r="AL18" s="2882"/>
      <c r="AM18" s="2941"/>
      <c r="AN18" s="2941"/>
      <c r="AO18" s="2202"/>
    </row>
    <row r="19" spans="1:41" s="4" customFormat="1" ht="130.5" customHeight="1" x14ac:dyDescent="0.2">
      <c r="A19" s="758"/>
      <c r="B19" s="772"/>
      <c r="C19" s="774"/>
      <c r="D19" s="1137"/>
      <c r="E19" s="1137"/>
      <c r="F19" s="1137"/>
      <c r="G19" s="1144">
        <v>3502047</v>
      </c>
      <c r="H19" s="1144" t="s">
        <v>973</v>
      </c>
      <c r="I19" s="767" t="s">
        <v>371</v>
      </c>
      <c r="J19" s="776" t="s">
        <v>974</v>
      </c>
      <c r="K19" s="1145">
        <v>0.3</v>
      </c>
      <c r="L19" s="2211"/>
      <c r="M19" s="2205"/>
      <c r="N19" s="2207"/>
      <c r="O19" s="1146">
        <f>(T19)/(P16)</f>
        <v>0.22748782359081421</v>
      </c>
      <c r="P19" s="2512"/>
      <c r="Q19" s="2207"/>
      <c r="R19" s="2934"/>
      <c r="S19" s="767" t="s">
        <v>975</v>
      </c>
      <c r="T19" s="1151">
        <v>43586667</v>
      </c>
      <c r="U19" s="1714">
        <v>88</v>
      </c>
      <c r="V19" s="1663" t="s">
        <v>466</v>
      </c>
      <c r="W19" s="2922"/>
      <c r="X19" s="2917"/>
      <c r="Y19" s="2917"/>
      <c r="Z19" s="2917"/>
      <c r="AA19" s="2917"/>
      <c r="AB19" s="2917"/>
      <c r="AC19" s="2917"/>
      <c r="AD19" s="2917"/>
      <c r="AE19" s="2917"/>
      <c r="AF19" s="2917"/>
      <c r="AG19" s="2917"/>
      <c r="AH19" s="2917"/>
      <c r="AI19" s="2917"/>
      <c r="AJ19" s="2917"/>
      <c r="AK19" s="2917"/>
      <c r="AL19" s="2917"/>
      <c r="AM19" s="2941"/>
      <c r="AN19" s="2941"/>
      <c r="AO19" s="2927"/>
    </row>
    <row r="20" spans="1:41" s="4" customFormat="1" ht="102.75" customHeight="1" x14ac:dyDescent="0.2">
      <c r="A20" s="758"/>
      <c r="B20" s="772"/>
      <c r="C20" s="774"/>
      <c r="D20" s="1137"/>
      <c r="E20" s="1137"/>
      <c r="F20" s="1137"/>
      <c r="G20" s="2935">
        <v>3502039</v>
      </c>
      <c r="H20" s="2937" t="s">
        <v>976</v>
      </c>
      <c r="I20" s="2247" t="s">
        <v>977</v>
      </c>
      <c r="J20" s="2321" t="s">
        <v>978</v>
      </c>
      <c r="K20" s="2209">
        <v>12</v>
      </c>
      <c r="L20" s="2209" t="s">
        <v>979</v>
      </c>
      <c r="M20" s="2319" t="s">
        <v>980</v>
      </c>
      <c r="N20" s="2322" t="s">
        <v>981</v>
      </c>
      <c r="O20" s="2938">
        <f>(T20+T21+T22+T23)/(P20)</f>
        <v>0.68173448869487485</v>
      </c>
      <c r="P20" s="2595">
        <f>+T20+T21+T22+T23+T24+T25+T26</f>
        <v>343007436</v>
      </c>
      <c r="Q20" s="2926" t="s">
        <v>982</v>
      </c>
      <c r="R20" s="2948" t="s">
        <v>983</v>
      </c>
      <c r="S20" s="779" t="s">
        <v>984</v>
      </c>
      <c r="T20" s="1961">
        <f>130000000-29706671</f>
        <v>100293329</v>
      </c>
      <c r="U20" s="1714">
        <v>88</v>
      </c>
      <c r="V20" s="1663" t="s">
        <v>466</v>
      </c>
      <c r="W20" s="2893">
        <v>6041</v>
      </c>
      <c r="X20" s="2881">
        <v>6016</v>
      </c>
      <c r="Y20" s="2881"/>
      <c r="Z20" s="2881"/>
      <c r="AA20" s="2945">
        <v>12057</v>
      </c>
      <c r="AB20" s="2881"/>
      <c r="AC20" s="2881"/>
      <c r="AD20" s="2881"/>
      <c r="AE20" s="2881"/>
      <c r="AF20" s="2881"/>
      <c r="AG20" s="2881"/>
      <c r="AH20" s="2881"/>
      <c r="AI20" s="2881"/>
      <c r="AJ20" s="2881"/>
      <c r="AK20" s="2881"/>
      <c r="AL20" s="2881">
        <f>+W20+X20</f>
        <v>12057</v>
      </c>
      <c r="AM20" s="2941">
        <v>43832</v>
      </c>
      <c r="AN20" s="2941">
        <v>44195</v>
      </c>
      <c r="AO20" s="2201" t="s">
        <v>958</v>
      </c>
    </row>
    <row r="21" spans="1:41" s="4" customFormat="1" ht="90.75" customHeight="1" x14ac:dyDescent="0.2">
      <c r="A21" s="758"/>
      <c r="B21" s="772"/>
      <c r="C21" s="774"/>
      <c r="D21" s="1137"/>
      <c r="E21" s="1137"/>
      <c r="F21" s="1137"/>
      <c r="G21" s="2936"/>
      <c r="H21" s="2924"/>
      <c r="I21" s="2247"/>
      <c r="J21" s="2356"/>
      <c r="K21" s="2210"/>
      <c r="L21" s="2210"/>
      <c r="M21" s="2571"/>
      <c r="N21" s="2926"/>
      <c r="O21" s="2939"/>
      <c r="P21" s="2595"/>
      <c r="Q21" s="2926"/>
      <c r="R21" s="2949"/>
      <c r="S21" s="1148" t="s">
        <v>985</v>
      </c>
      <c r="T21" s="1149"/>
      <c r="U21" s="1682"/>
      <c r="V21" s="1150"/>
      <c r="W21" s="2882"/>
      <c r="X21" s="2882"/>
      <c r="Y21" s="2882"/>
      <c r="Z21" s="2882"/>
      <c r="AA21" s="2946"/>
      <c r="AB21" s="2882"/>
      <c r="AC21" s="2882"/>
      <c r="AD21" s="2882"/>
      <c r="AE21" s="2882"/>
      <c r="AF21" s="2882"/>
      <c r="AG21" s="2882"/>
      <c r="AH21" s="2882"/>
      <c r="AI21" s="2882"/>
      <c r="AJ21" s="2882"/>
      <c r="AK21" s="2882"/>
      <c r="AL21" s="2882"/>
      <c r="AM21" s="2941"/>
      <c r="AN21" s="2941"/>
      <c r="AO21" s="2202"/>
    </row>
    <row r="22" spans="1:41" s="4" customFormat="1" ht="81" customHeight="1" x14ac:dyDescent="0.2">
      <c r="A22" s="758"/>
      <c r="B22" s="772"/>
      <c r="C22" s="774"/>
      <c r="D22" s="1137"/>
      <c r="E22" s="1137"/>
      <c r="F22" s="1137"/>
      <c r="G22" s="2936"/>
      <c r="H22" s="2924"/>
      <c r="I22" s="2247"/>
      <c r="J22" s="2356"/>
      <c r="K22" s="2210"/>
      <c r="L22" s="2210"/>
      <c r="M22" s="2571"/>
      <c r="N22" s="2926"/>
      <c r="O22" s="2939"/>
      <c r="P22" s="2595"/>
      <c r="Q22" s="2926"/>
      <c r="R22" s="2949"/>
      <c r="S22" s="779" t="s">
        <v>986</v>
      </c>
      <c r="T22" s="1140">
        <f>61320062+32519937</f>
        <v>93839999</v>
      </c>
      <c r="U22" s="1708">
        <v>20</v>
      </c>
      <c r="V22" s="1641" t="s">
        <v>70</v>
      </c>
      <c r="W22" s="2882"/>
      <c r="X22" s="2882"/>
      <c r="Y22" s="2882"/>
      <c r="Z22" s="2882"/>
      <c r="AA22" s="2946"/>
      <c r="AB22" s="2882"/>
      <c r="AC22" s="2882"/>
      <c r="AD22" s="2882"/>
      <c r="AE22" s="2882"/>
      <c r="AF22" s="2882"/>
      <c r="AG22" s="2882"/>
      <c r="AH22" s="2882"/>
      <c r="AI22" s="2882"/>
      <c r="AJ22" s="2882"/>
      <c r="AK22" s="2882"/>
      <c r="AL22" s="2882"/>
      <c r="AM22" s="2941"/>
      <c r="AN22" s="2941"/>
      <c r="AO22" s="2202"/>
    </row>
    <row r="23" spans="1:41" s="4" customFormat="1" ht="86.25" customHeight="1" x14ac:dyDescent="0.2">
      <c r="A23" s="758"/>
      <c r="B23" s="772"/>
      <c r="C23" s="774"/>
      <c r="D23" s="1137"/>
      <c r="E23" s="1137"/>
      <c r="F23" s="1137"/>
      <c r="G23" s="2936"/>
      <c r="H23" s="2925"/>
      <c r="I23" s="2247"/>
      <c r="J23" s="2320"/>
      <c r="K23" s="2211"/>
      <c r="L23" s="2210"/>
      <c r="M23" s="2571"/>
      <c r="N23" s="2926"/>
      <c r="O23" s="2940"/>
      <c r="P23" s="2595"/>
      <c r="Q23" s="2926"/>
      <c r="R23" s="2949"/>
      <c r="S23" s="1148" t="s">
        <v>987</v>
      </c>
      <c r="T23" s="1149">
        <f>10000000+29706671</f>
        <v>39706671</v>
      </c>
      <c r="U23" s="1714">
        <v>88</v>
      </c>
      <c r="V23" s="1663" t="s">
        <v>466</v>
      </c>
      <c r="W23" s="2894"/>
      <c r="X23" s="2882"/>
      <c r="Y23" s="2882"/>
      <c r="Z23" s="2882"/>
      <c r="AA23" s="2946"/>
      <c r="AB23" s="2882"/>
      <c r="AC23" s="2882"/>
      <c r="AD23" s="2882"/>
      <c r="AE23" s="2882"/>
      <c r="AF23" s="2882"/>
      <c r="AG23" s="2882"/>
      <c r="AH23" s="2882"/>
      <c r="AI23" s="2882"/>
      <c r="AJ23" s="2882"/>
      <c r="AK23" s="2882"/>
      <c r="AL23" s="2882"/>
      <c r="AM23" s="2941"/>
      <c r="AN23" s="2941"/>
      <c r="AO23" s="2202"/>
    </row>
    <row r="24" spans="1:41" s="4" customFormat="1" ht="62.25" customHeight="1" x14ac:dyDescent="0.2">
      <c r="A24" s="758"/>
      <c r="B24" s="772"/>
      <c r="C24" s="774"/>
      <c r="D24" s="1137"/>
      <c r="E24" s="1137"/>
      <c r="F24" s="1137"/>
      <c r="G24" s="2936"/>
      <c r="H24" s="2597" t="s">
        <v>976</v>
      </c>
      <c r="I24" s="2247"/>
      <c r="J24" s="2562" t="s">
        <v>988</v>
      </c>
      <c r="K24" s="2209">
        <v>1</v>
      </c>
      <c r="L24" s="2210"/>
      <c r="M24" s="2571"/>
      <c r="N24" s="2926"/>
      <c r="O24" s="2938">
        <f>(T25+T24)/P20</f>
        <v>0.30660395653929789</v>
      </c>
      <c r="P24" s="2595"/>
      <c r="Q24" s="2926"/>
      <c r="R24" s="2949"/>
      <c r="S24" s="2943" t="s">
        <v>989</v>
      </c>
      <c r="T24" s="1151">
        <v>78882499</v>
      </c>
      <c r="U24" s="1708">
        <v>20</v>
      </c>
      <c r="V24" s="1642" t="s">
        <v>70</v>
      </c>
      <c r="W24" s="2882"/>
      <c r="X24" s="2882"/>
      <c r="Y24" s="2882"/>
      <c r="Z24" s="2882"/>
      <c r="AA24" s="2946"/>
      <c r="AB24" s="2882"/>
      <c r="AC24" s="2882"/>
      <c r="AD24" s="2882"/>
      <c r="AE24" s="2882"/>
      <c r="AF24" s="2882"/>
      <c r="AG24" s="2882"/>
      <c r="AH24" s="2882"/>
      <c r="AI24" s="2882"/>
      <c r="AJ24" s="2882"/>
      <c r="AK24" s="2882"/>
      <c r="AL24" s="2882"/>
      <c r="AM24" s="2941"/>
      <c r="AN24" s="2941"/>
      <c r="AO24" s="2202"/>
    </row>
    <row r="25" spans="1:41" s="4" customFormat="1" ht="69.75" customHeight="1" x14ac:dyDescent="0.2">
      <c r="A25" s="758"/>
      <c r="B25" s="772"/>
      <c r="C25" s="774"/>
      <c r="D25" s="1137"/>
      <c r="E25" s="1137"/>
      <c r="F25" s="1137"/>
      <c r="G25" s="2936"/>
      <c r="H25" s="2597"/>
      <c r="I25" s="2247"/>
      <c r="J25" s="2942"/>
      <c r="K25" s="2210"/>
      <c r="L25" s="2210"/>
      <c r="M25" s="2571"/>
      <c r="N25" s="2926"/>
      <c r="O25" s="2939"/>
      <c r="P25" s="2595"/>
      <c r="Q25" s="2926"/>
      <c r="R25" s="2949"/>
      <c r="S25" s="2944"/>
      <c r="T25" s="1961">
        <f>8284938+18000000</f>
        <v>26284938</v>
      </c>
      <c r="U25" s="1714">
        <v>88</v>
      </c>
      <c r="V25" s="1663" t="s">
        <v>466</v>
      </c>
      <c r="W25" s="2894"/>
      <c r="X25" s="2882"/>
      <c r="Y25" s="2882"/>
      <c r="Z25" s="2882"/>
      <c r="AA25" s="2946"/>
      <c r="AB25" s="2882"/>
      <c r="AC25" s="2882"/>
      <c r="AD25" s="2882"/>
      <c r="AE25" s="2882"/>
      <c r="AF25" s="2882"/>
      <c r="AG25" s="2882"/>
      <c r="AH25" s="2882"/>
      <c r="AI25" s="2882"/>
      <c r="AJ25" s="2882"/>
      <c r="AK25" s="2882"/>
      <c r="AL25" s="2882"/>
      <c r="AM25" s="2941"/>
      <c r="AN25" s="2941"/>
      <c r="AO25" s="2202"/>
    </row>
    <row r="26" spans="1:41" s="4" customFormat="1" ht="102" customHeight="1" x14ac:dyDescent="0.2">
      <c r="A26" s="758"/>
      <c r="B26" s="772"/>
      <c r="C26" s="774"/>
      <c r="D26" s="1137"/>
      <c r="E26" s="1137"/>
      <c r="F26" s="1137"/>
      <c r="G26" s="1144">
        <v>3502047</v>
      </c>
      <c r="H26" s="1144" t="s">
        <v>973</v>
      </c>
      <c r="I26" s="767" t="s">
        <v>371</v>
      </c>
      <c r="J26" s="776" t="s">
        <v>974</v>
      </c>
      <c r="K26" s="1145">
        <v>0.3</v>
      </c>
      <c r="L26" s="2210"/>
      <c r="M26" s="2571"/>
      <c r="N26" s="2926"/>
      <c r="O26" s="1152">
        <f>(T26)/(P20)</f>
        <v>1.1661554765827293E-2</v>
      </c>
      <c r="P26" s="2595"/>
      <c r="Q26" s="2926"/>
      <c r="R26" s="2950"/>
      <c r="S26" s="1153" t="s">
        <v>990</v>
      </c>
      <c r="T26" s="1961">
        <v>4000000</v>
      </c>
      <c r="U26" s="1714">
        <v>88</v>
      </c>
      <c r="V26" s="1663" t="s">
        <v>466</v>
      </c>
      <c r="W26" s="2922"/>
      <c r="X26" s="2917"/>
      <c r="Y26" s="2917"/>
      <c r="Z26" s="2917"/>
      <c r="AA26" s="2947"/>
      <c r="AB26" s="2917"/>
      <c r="AC26" s="2917"/>
      <c r="AD26" s="2917"/>
      <c r="AE26" s="2917"/>
      <c r="AF26" s="2917"/>
      <c r="AG26" s="2917"/>
      <c r="AH26" s="2917"/>
      <c r="AI26" s="2917"/>
      <c r="AJ26" s="2917"/>
      <c r="AK26" s="2917"/>
      <c r="AL26" s="2917"/>
      <c r="AM26" s="2941"/>
      <c r="AN26" s="2941"/>
      <c r="AO26" s="2927"/>
    </row>
    <row r="27" spans="1:41" s="4" customFormat="1" ht="75" customHeight="1" x14ac:dyDescent="0.2">
      <c r="A27" s="758"/>
      <c r="B27" s="772"/>
      <c r="C27" s="774"/>
      <c r="D27" s="1137"/>
      <c r="E27" s="1137"/>
      <c r="F27" s="1137"/>
      <c r="G27" s="2937">
        <v>3502046</v>
      </c>
      <c r="H27" s="2937" t="s">
        <v>991</v>
      </c>
      <c r="I27" s="2321" t="s">
        <v>992</v>
      </c>
      <c r="J27" s="2322" t="s">
        <v>993</v>
      </c>
      <c r="K27" s="2209">
        <v>1</v>
      </c>
      <c r="L27" s="2209" t="s">
        <v>994</v>
      </c>
      <c r="M27" s="2319" t="s">
        <v>995</v>
      </c>
      <c r="N27" s="2321" t="s">
        <v>996</v>
      </c>
      <c r="O27" s="2938">
        <f>(T27+T28+T29+T30+T31+T32+T33+T34)/(P27)</f>
        <v>1</v>
      </c>
      <c r="P27" s="2952">
        <f>+T27+T28+T29+T30+T31+T32+T33+T34</f>
        <v>933596635.85000002</v>
      </c>
      <c r="Q27" s="2953" t="s">
        <v>997</v>
      </c>
      <c r="R27" s="2954" t="s">
        <v>998</v>
      </c>
      <c r="S27" s="769" t="s">
        <v>999</v>
      </c>
      <c r="T27" s="1154">
        <v>232026666</v>
      </c>
      <c r="U27" s="1155">
        <v>52</v>
      </c>
      <c r="V27" s="1647" t="s">
        <v>1000</v>
      </c>
      <c r="W27" s="2951">
        <v>6041</v>
      </c>
      <c r="X27" s="2951">
        <v>6016</v>
      </c>
      <c r="Y27" s="2951"/>
      <c r="Z27" s="2951"/>
      <c r="AA27" s="2951">
        <v>12057</v>
      </c>
      <c r="AB27" s="2951"/>
      <c r="AC27" s="2951"/>
      <c r="AD27" s="2951"/>
      <c r="AE27" s="2951"/>
      <c r="AF27" s="2951"/>
      <c r="AG27" s="2951"/>
      <c r="AH27" s="2951"/>
      <c r="AI27" s="2951"/>
      <c r="AJ27" s="2951"/>
      <c r="AK27" s="2951"/>
      <c r="AL27" s="2951">
        <f>+W27+X27</f>
        <v>12057</v>
      </c>
      <c r="AM27" s="2941">
        <v>43832</v>
      </c>
      <c r="AN27" s="2941">
        <v>44195</v>
      </c>
      <c r="AO27" s="2181" t="s">
        <v>958</v>
      </c>
    </row>
    <row r="28" spans="1:41" s="4" customFormat="1" ht="52.5" customHeight="1" x14ac:dyDescent="0.2">
      <c r="A28" s="758"/>
      <c r="B28" s="772"/>
      <c r="C28" s="774"/>
      <c r="D28" s="1137"/>
      <c r="E28" s="1137"/>
      <c r="F28" s="1137"/>
      <c r="G28" s="2924"/>
      <c r="H28" s="2924"/>
      <c r="I28" s="2356"/>
      <c r="J28" s="2926"/>
      <c r="K28" s="2210"/>
      <c r="L28" s="2210"/>
      <c r="M28" s="2571"/>
      <c r="N28" s="2356"/>
      <c r="O28" s="2939"/>
      <c r="P28" s="2595"/>
      <c r="Q28" s="2926"/>
      <c r="R28" s="2933"/>
      <c r="S28" s="2563" t="s">
        <v>1001</v>
      </c>
      <c r="T28" s="1156">
        <v>38000000</v>
      </c>
      <c r="U28" s="1155">
        <v>52</v>
      </c>
      <c r="V28" s="771" t="s">
        <v>1000</v>
      </c>
      <c r="W28" s="2951"/>
      <c r="X28" s="2951"/>
      <c r="Y28" s="2951"/>
      <c r="Z28" s="2951"/>
      <c r="AA28" s="2951"/>
      <c r="AB28" s="2951"/>
      <c r="AC28" s="2951"/>
      <c r="AD28" s="2951"/>
      <c r="AE28" s="2951"/>
      <c r="AF28" s="2951"/>
      <c r="AG28" s="2951"/>
      <c r="AH28" s="2951"/>
      <c r="AI28" s="2951"/>
      <c r="AJ28" s="2951"/>
      <c r="AK28" s="2951"/>
      <c r="AL28" s="2951"/>
      <c r="AM28" s="2941"/>
      <c r="AN28" s="2941"/>
      <c r="AO28" s="2181"/>
    </row>
    <row r="29" spans="1:41" s="4" customFormat="1" ht="51" customHeight="1" x14ac:dyDescent="0.2">
      <c r="A29" s="758"/>
      <c r="B29" s="772"/>
      <c r="C29" s="774"/>
      <c r="D29" s="1137"/>
      <c r="E29" s="1137"/>
      <c r="F29" s="1137"/>
      <c r="G29" s="2924"/>
      <c r="H29" s="2924"/>
      <c r="I29" s="2356"/>
      <c r="J29" s="2926"/>
      <c r="K29" s="2210"/>
      <c r="L29" s="2210"/>
      <c r="M29" s="2571"/>
      <c r="N29" s="2356"/>
      <c r="O29" s="2939"/>
      <c r="P29" s="2595"/>
      <c r="Q29" s="2926"/>
      <c r="R29" s="2933"/>
      <c r="S29" s="2955"/>
      <c r="T29" s="1151">
        <v>15000000</v>
      </c>
      <c r="U29" s="1157">
        <v>94</v>
      </c>
      <c r="V29" s="1965" t="s">
        <v>1002</v>
      </c>
      <c r="W29" s="2951"/>
      <c r="X29" s="2951"/>
      <c r="Y29" s="2951"/>
      <c r="Z29" s="2951"/>
      <c r="AA29" s="2951"/>
      <c r="AB29" s="2951"/>
      <c r="AC29" s="2951"/>
      <c r="AD29" s="2951"/>
      <c r="AE29" s="2951"/>
      <c r="AF29" s="2951"/>
      <c r="AG29" s="2951"/>
      <c r="AH29" s="2951"/>
      <c r="AI29" s="2951"/>
      <c r="AJ29" s="2951"/>
      <c r="AK29" s="2951"/>
      <c r="AL29" s="2951"/>
      <c r="AM29" s="2941"/>
      <c r="AN29" s="2941"/>
      <c r="AO29" s="2181"/>
    </row>
    <row r="30" spans="1:41" s="4" customFormat="1" ht="56.25" customHeight="1" x14ac:dyDescent="0.2">
      <c r="A30" s="758"/>
      <c r="B30" s="772"/>
      <c r="C30" s="774"/>
      <c r="D30" s="1137"/>
      <c r="E30" s="1137"/>
      <c r="F30" s="1137"/>
      <c r="G30" s="2924"/>
      <c r="H30" s="2924"/>
      <c r="I30" s="2356"/>
      <c r="J30" s="2926"/>
      <c r="K30" s="2210"/>
      <c r="L30" s="2210"/>
      <c r="M30" s="2571"/>
      <c r="N30" s="2356"/>
      <c r="O30" s="2939"/>
      <c r="P30" s="2595"/>
      <c r="Q30" s="2926"/>
      <c r="R30" s="2933"/>
      <c r="S30" s="2474" t="s">
        <v>1003</v>
      </c>
      <c r="T30" s="1147">
        <v>203851239</v>
      </c>
      <c r="U30" s="1155">
        <v>52</v>
      </c>
      <c r="V30" s="1646" t="s">
        <v>1000</v>
      </c>
      <c r="W30" s="2951"/>
      <c r="X30" s="2951"/>
      <c r="Y30" s="2951"/>
      <c r="Z30" s="2951"/>
      <c r="AA30" s="2951"/>
      <c r="AB30" s="2951"/>
      <c r="AC30" s="2951"/>
      <c r="AD30" s="2951"/>
      <c r="AE30" s="2951"/>
      <c r="AF30" s="2951"/>
      <c r="AG30" s="2951"/>
      <c r="AH30" s="2951"/>
      <c r="AI30" s="2951"/>
      <c r="AJ30" s="2951"/>
      <c r="AK30" s="2951"/>
      <c r="AL30" s="2951"/>
      <c r="AM30" s="2941"/>
      <c r="AN30" s="2941"/>
      <c r="AO30" s="2181"/>
    </row>
    <row r="31" spans="1:41" s="4" customFormat="1" ht="56.25" customHeight="1" x14ac:dyDescent="0.2">
      <c r="A31" s="758"/>
      <c r="B31" s="772"/>
      <c r="C31" s="774"/>
      <c r="D31" s="1137"/>
      <c r="E31" s="1137"/>
      <c r="F31" s="1137"/>
      <c r="G31" s="2924"/>
      <c r="H31" s="2924"/>
      <c r="I31" s="2356"/>
      <c r="J31" s="2926"/>
      <c r="K31" s="2210"/>
      <c r="L31" s="2210"/>
      <c r="M31" s="2571"/>
      <c r="N31" s="2356"/>
      <c r="O31" s="2939"/>
      <c r="P31" s="2595"/>
      <c r="Q31" s="2926"/>
      <c r="R31" s="2933"/>
      <c r="S31" s="2475"/>
      <c r="T31" s="1962">
        <f>(360000000+60000000)-3281269</f>
        <v>416718731</v>
      </c>
      <c r="U31" s="1714">
        <v>88</v>
      </c>
      <c r="V31" s="1663" t="s">
        <v>466</v>
      </c>
      <c r="W31" s="2962"/>
      <c r="X31" s="2951"/>
      <c r="Y31" s="2951"/>
      <c r="Z31" s="2951"/>
      <c r="AA31" s="2951"/>
      <c r="AB31" s="2951"/>
      <c r="AC31" s="2951"/>
      <c r="AD31" s="2951"/>
      <c r="AE31" s="2951"/>
      <c r="AF31" s="2951"/>
      <c r="AG31" s="2951"/>
      <c r="AH31" s="2951"/>
      <c r="AI31" s="2951"/>
      <c r="AJ31" s="2951"/>
      <c r="AK31" s="2951"/>
      <c r="AL31" s="2951"/>
      <c r="AM31" s="2941"/>
      <c r="AN31" s="2941"/>
      <c r="AO31" s="2181"/>
    </row>
    <row r="32" spans="1:41" s="4" customFormat="1" ht="54" customHeight="1" x14ac:dyDescent="0.2">
      <c r="A32" s="758"/>
      <c r="B32" s="772"/>
      <c r="C32" s="774"/>
      <c r="D32" s="1137"/>
      <c r="E32" s="1137"/>
      <c r="F32" s="1137"/>
      <c r="G32" s="2924"/>
      <c r="H32" s="2924"/>
      <c r="I32" s="2356"/>
      <c r="J32" s="2926"/>
      <c r="K32" s="2210"/>
      <c r="L32" s="2210"/>
      <c r="M32" s="2571"/>
      <c r="N32" s="2356"/>
      <c r="O32" s="2939"/>
      <c r="P32" s="2595"/>
      <c r="Q32" s="2926"/>
      <c r="R32" s="2933"/>
      <c r="S32" s="1159" t="s">
        <v>1004</v>
      </c>
      <c r="T32" s="1154">
        <v>10000000</v>
      </c>
      <c r="U32" s="1155">
        <v>52</v>
      </c>
      <c r="V32" s="771" t="s">
        <v>1000</v>
      </c>
      <c r="W32" s="2951"/>
      <c r="X32" s="2951"/>
      <c r="Y32" s="2951"/>
      <c r="Z32" s="2951"/>
      <c r="AA32" s="2951"/>
      <c r="AB32" s="2951"/>
      <c r="AC32" s="2951"/>
      <c r="AD32" s="2951"/>
      <c r="AE32" s="2951"/>
      <c r="AF32" s="2951"/>
      <c r="AG32" s="2951"/>
      <c r="AH32" s="2951"/>
      <c r="AI32" s="2951"/>
      <c r="AJ32" s="2951"/>
      <c r="AK32" s="2951"/>
      <c r="AL32" s="2951"/>
      <c r="AM32" s="2941"/>
      <c r="AN32" s="2941"/>
      <c r="AO32" s="2181"/>
    </row>
    <row r="33" spans="1:41" s="4" customFormat="1" ht="52.5" customHeight="1" x14ac:dyDescent="0.2">
      <c r="A33" s="758"/>
      <c r="B33" s="772"/>
      <c r="C33" s="774"/>
      <c r="D33" s="1137"/>
      <c r="E33" s="1137"/>
      <c r="F33" s="1137"/>
      <c r="G33" s="2924"/>
      <c r="H33" s="2924"/>
      <c r="I33" s="2356"/>
      <c r="J33" s="2926"/>
      <c r="K33" s="2210"/>
      <c r="L33" s="2210"/>
      <c r="M33" s="2571"/>
      <c r="N33" s="2356"/>
      <c r="O33" s="2939"/>
      <c r="P33" s="2595"/>
      <c r="Q33" s="2926"/>
      <c r="R33" s="2933"/>
      <c r="S33" s="2956" t="s">
        <v>1005</v>
      </c>
      <c r="T33" s="1154">
        <v>10890095</v>
      </c>
      <c r="U33" s="1155">
        <v>52</v>
      </c>
      <c r="V33" s="1126" t="s">
        <v>1715</v>
      </c>
      <c r="W33" s="2951"/>
      <c r="X33" s="2951"/>
      <c r="Y33" s="2951"/>
      <c r="Z33" s="2951"/>
      <c r="AA33" s="2951"/>
      <c r="AB33" s="2951"/>
      <c r="AC33" s="2951"/>
      <c r="AD33" s="2951"/>
      <c r="AE33" s="2951"/>
      <c r="AF33" s="2951"/>
      <c r="AG33" s="2951"/>
      <c r="AH33" s="2951"/>
      <c r="AI33" s="2951"/>
      <c r="AJ33" s="2951"/>
      <c r="AK33" s="2951"/>
      <c r="AL33" s="2951"/>
      <c r="AM33" s="2941"/>
      <c r="AN33" s="2941"/>
      <c r="AO33" s="2181"/>
    </row>
    <row r="34" spans="1:41" s="4" customFormat="1" ht="58.5" customHeight="1" x14ac:dyDescent="0.2">
      <c r="A34" s="758"/>
      <c r="B34" s="772"/>
      <c r="C34" s="774"/>
      <c r="D34" s="1137"/>
      <c r="E34" s="1137"/>
      <c r="F34" s="1137"/>
      <c r="G34" s="2925"/>
      <c r="H34" s="2925"/>
      <c r="I34" s="2320"/>
      <c r="J34" s="2207"/>
      <c r="K34" s="2211"/>
      <c r="L34" s="2211"/>
      <c r="M34" s="2205"/>
      <c r="N34" s="2320"/>
      <c r="O34" s="2940"/>
      <c r="P34" s="2596"/>
      <c r="Q34" s="2207"/>
      <c r="R34" s="2934"/>
      <c r="S34" s="2494"/>
      <c r="T34" s="1143">
        <v>7109904.8499999996</v>
      </c>
      <c r="U34" s="1158">
        <v>94</v>
      </c>
      <c r="V34" s="1685" t="s">
        <v>1002</v>
      </c>
      <c r="W34" s="2951"/>
      <c r="X34" s="2951"/>
      <c r="Y34" s="2951"/>
      <c r="Z34" s="2951"/>
      <c r="AA34" s="2951"/>
      <c r="AB34" s="2951"/>
      <c r="AC34" s="2951"/>
      <c r="AD34" s="2951"/>
      <c r="AE34" s="2951"/>
      <c r="AF34" s="2951"/>
      <c r="AG34" s="2951"/>
      <c r="AH34" s="2951"/>
      <c r="AI34" s="2951"/>
      <c r="AJ34" s="2951"/>
      <c r="AK34" s="2951"/>
      <c r="AL34" s="2951"/>
      <c r="AM34" s="2941"/>
      <c r="AN34" s="2941"/>
      <c r="AO34" s="2181"/>
    </row>
    <row r="35" spans="1:41" s="4" customFormat="1" ht="29.25" customHeight="1" x14ac:dyDescent="0.2">
      <c r="A35" s="34"/>
      <c r="B35" s="35"/>
      <c r="C35" s="258"/>
      <c r="D35" s="385">
        <v>28</v>
      </c>
      <c r="E35" s="385" t="s">
        <v>1006</v>
      </c>
      <c r="F35" s="208"/>
      <c r="G35" s="1160"/>
      <c r="H35" s="1160"/>
      <c r="I35" s="676"/>
      <c r="J35" s="676"/>
      <c r="K35" s="1131"/>
      <c r="L35" s="1563"/>
      <c r="M35" s="213"/>
      <c r="N35" s="1131"/>
      <c r="O35" s="1132"/>
      <c r="P35" s="1161"/>
      <c r="Q35" s="1131"/>
      <c r="R35" s="1131"/>
      <c r="S35" s="1162"/>
      <c r="T35" s="1163"/>
      <c r="U35" s="219"/>
      <c r="V35" s="1131"/>
      <c r="W35" s="1164"/>
      <c r="X35" s="1164"/>
      <c r="Y35" s="1164"/>
      <c r="Z35" s="1164"/>
      <c r="AA35" s="1164"/>
      <c r="AB35" s="1164"/>
      <c r="AC35" s="1164"/>
      <c r="AD35" s="1164"/>
      <c r="AE35" s="1164"/>
      <c r="AF35" s="1164"/>
      <c r="AG35" s="1164"/>
      <c r="AH35" s="1164"/>
      <c r="AI35" s="1164"/>
      <c r="AJ35" s="1164"/>
      <c r="AK35" s="1164"/>
      <c r="AL35" s="1164"/>
      <c r="AM35" s="1165"/>
      <c r="AN35" s="1165"/>
      <c r="AO35" s="1166"/>
    </row>
    <row r="36" spans="1:41" s="4" customFormat="1" ht="61.5" customHeight="1" x14ac:dyDescent="0.2">
      <c r="A36" s="1167"/>
      <c r="B36" s="784"/>
      <c r="C36" s="784"/>
      <c r="D36" s="2957"/>
      <c r="E36" s="2152"/>
      <c r="F36" s="2959"/>
      <c r="G36" s="2204">
        <v>3602018</v>
      </c>
      <c r="H36" s="2206" t="s">
        <v>1007</v>
      </c>
      <c r="I36" s="2955" t="s">
        <v>1008</v>
      </c>
      <c r="J36" s="2909" t="s">
        <v>1009</v>
      </c>
      <c r="K36" s="2473">
        <v>3</v>
      </c>
      <c r="L36" s="2212" t="s">
        <v>1010</v>
      </c>
      <c r="M36" s="2206" t="s">
        <v>1011</v>
      </c>
      <c r="N36" s="2247" t="s">
        <v>1012</v>
      </c>
      <c r="O36" s="2929">
        <f>(T36+T37+T38)/P36</f>
        <v>0.89851782614501263</v>
      </c>
      <c r="P36" s="2512">
        <f>SUM(T36:T45)</f>
        <v>1235685000</v>
      </c>
      <c r="Q36" s="2322" t="s">
        <v>1013</v>
      </c>
      <c r="R36" s="2932" t="s">
        <v>1014</v>
      </c>
      <c r="S36" s="757" t="s">
        <v>1015</v>
      </c>
      <c r="T36" s="1960">
        <v>9000000</v>
      </c>
      <c r="U36" s="1682">
        <v>20</v>
      </c>
      <c r="V36" s="1519" t="s">
        <v>70</v>
      </c>
      <c r="W36" s="2963">
        <v>295972</v>
      </c>
      <c r="X36" s="2963">
        <v>285580</v>
      </c>
      <c r="Y36" s="2963">
        <v>135545</v>
      </c>
      <c r="Z36" s="2963">
        <v>44254</v>
      </c>
      <c r="AA36" s="2963">
        <v>309146</v>
      </c>
      <c r="AB36" s="2963">
        <v>92607</v>
      </c>
      <c r="AC36" s="2963"/>
      <c r="AD36" s="2963"/>
      <c r="AE36" s="2963"/>
      <c r="AF36" s="2963"/>
      <c r="AG36" s="2963"/>
      <c r="AH36" s="2963"/>
      <c r="AI36" s="2963">
        <v>44.35</v>
      </c>
      <c r="AJ36" s="2963">
        <v>21.44</v>
      </c>
      <c r="AK36" s="2963">
        <v>75687</v>
      </c>
      <c r="AL36" s="2963">
        <f>+W36+X36</f>
        <v>581552</v>
      </c>
      <c r="AM36" s="2218">
        <v>43832</v>
      </c>
      <c r="AN36" s="2218">
        <v>44195</v>
      </c>
      <c r="AO36" s="2208" t="s">
        <v>958</v>
      </c>
    </row>
    <row r="37" spans="1:41" s="4" customFormat="1" ht="54" customHeight="1" x14ac:dyDescent="0.2">
      <c r="A37" s="1167"/>
      <c r="B37" s="784"/>
      <c r="C37" s="784"/>
      <c r="D37" s="2958"/>
      <c r="E37" s="2518"/>
      <c r="F37" s="2960"/>
      <c r="G37" s="2204"/>
      <c r="H37" s="2206"/>
      <c r="I37" s="2955"/>
      <c r="J37" s="2909"/>
      <c r="K37" s="2473"/>
      <c r="L37" s="2212"/>
      <c r="M37" s="2206"/>
      <c r="N37" s="2247"/>
      <c r="O37" s="2929"/>
      <c r="P37" s="2512"/>
      <c r="Q37" s="2926"/>
      <c r="R37" s="2933"/>
      <c r="S37" s="2208" t="s">
        <v>1016</v>
      </c>
      <c r="T37" s="1143">
        <v>130600000</v>
      </c>
      <c r="U37" s="1708">
        <v>20</v>
      </c>
      <c r="V37" s="1633" t="s">
        <v>70</v>
      </c>
      <c r="W37" s="2963"/>
      <c r="X37" s="2963"/>
      <c r="Y37" s="2963"/>
      <c r="Z37" s="2963"/>
      <c r="AA37" s="2963"/>
      <c r="AB37" s="2963"/>
      <c r="AC37" s="2963"/>
      <c r="AD37" s="2963"/>
      <c r="AE37" s="2963"/>
      <c r="AF37" s="2963"/>
      <c r="AG37" s="2963"/>
      <c r="AH37" s="2963"/>
      <c r="AI37" s="2963"/>
      <c r="AJ37" s="2963"/>
      <c r="AK37" s="2963"/>
      <c r="AL37" s="2963"/>
      <c r="AM37" s="2218"/>
      <c r="AN37" s="2218"/>
      <c r="AO37" s="2208"/>
    </row>
    <row r="38" spans="1:41" s="4" customFormat="1" ht="54.75" customHeight="1" x14ac:dyDescent="0.2">
      <c r="A38" s="758"/>
      <c r="B38" s="772"/>
      <c r="C38" s="772"/>
      <c r="D38" s="2382"/>
      <c r="E38" s="2154"/>
      <c r="F38" s="2961"/>
      <c r="G38" s="2204"/>
      <c r="H38" s="2206"/>
      <c r="I38" s="2955"/>
      <c r="J38" s="2909"/>
      <c r="K38" s="2473"/>
      <c r="L38" s="2212"/>
      <c r="M38" s="2206"/>
      <c r="N38" s="2247"/>
      <c r="O38" s="2929"/>
      <c r="P38" s="2512"/>
      <c r="Q38" s="2926"/>
      <c r="R38" s="2933"/>
      <c r="S38" s="2208"/>
      <c r="T38" s="1960">
        <v>970685000</v>
      </c>
      <c r="U38" s="1714">
        <v>88</v>
      </c>
      <c r="V38" s="1663" t="s">
        <v>466</v>
      </c>
      <c r="W38" s="2964"/>
      <c r="X38" s="2963"/>
      <c r="Y38" s="2963"/>
      <c r="Z38" s="2963"/>
      <c r="AA38" s="2963"/>
      <c r="AB38" s="2963"/>
      <c r="AC38" s="2963"/>
      <c r="AD38" s="2963"/>
      <c r="AE38" s="2963"/>
      <c r="AF38" s="2963"/>
      <c r="AG38" s="2963"/>
      <c r="AH38" s="2963"/>
      <c r="AI38" s="2963"/>
      <c r="AJ38" s="2963"/>
      <c r="AK38" s="2963"/>
      <c r="AL38" s="2963"/>
      <c r="AM38" s="2218"/>
      <c r="AN38" s="2218"/>
      <c r="AO38" s="2208"/>
    </row>
    <row r="39" spans="1:41" s="4" customFormat="1" ht="87.75" customHeight="1" x14ac:dyDescent="0.2">
      <c r="A39" s="758"/>
      <c r="B39" s="772"/>
      <c r="C39" s="774"/>
      <c r="E39" s="1169"/>
      <c r="F39" s="1169"/>
      <c r="G39" s="2905">
        <v>3602032</v>
      </c>
      <c r="H39" s="2966" t="s">
        <v>1017</v>
      </c>
      <c r="I39" s="2247" t="s">
        <v>1018</v>
      </c>
      <c r="J39" s="2909" t="s">
        <v>1019</v>
      </c>
      <c r="K39" s="2967">
        <v>14</v>
      </c>
      <c r="L39" s="2212"/>
      <c r="M39" s="2206"/>
      <c r="N39" s="2247"/>
      <c r="O39" s="2929">
        <f>(T39+T40)/(P36)</f>
        <v>5.8267276854538169E-2</v>
      </c>
      <c r="P39" s="2512"/>
      <c r="Q39" s="2926"/>
      <c r="R39" s="2933"/>
      <c r="S39" s="757" t="s">
        <v>1020</v>
      </c>
      <c r="T39" s="1143">
        <v>22000000</v>
      </c>
      <c r="U39" s="1963">
        <v>88</v>
      </c>
      <c r="V39" s="1663" t="s">
        <v>466</v>
      </c>
      <c r="W39" s="2964"/>
      <c r="X39" s="2963"/>
      <c r="Y39" s="2963"/>
      <c r="Z39" s="2963"/>
      <c r="AA39" s="2963"/>
      <c r="AB39" s="2963"/>
      <c r="AC39" s="2963"/>
      <c r="AD39" s="2963"/>
      <c r="AE39" s="2963"/>
      <c r="AF39" s="2963"/>
      <c r="AG39" s="2963"/>
      <c r="AH39" s="2963"/>
      <c r="AI39" s="2963"/>
      <c r="AJ39" s="2963"/>
      <c r="AK39" s="2963"/>
      <c r="AL39" s="2963"/>
      <c r="AM39" s="2218"/>
      <c r="AN39" s="2218"/>
      <c r="AO39" s="2208"/>
    </row>
    <row r="40" spans="1:41" s="4" customFormat="1" ht="90" customHeight="1" x14ac:dyDescent="0.2">
      <c r="A40" s="246"/>
      <c r="C40" s="115"/>
      <c r="G40" s="2965"/>
      <c r="H40" s="2473"/>
      <c r="I40" s="2247"/>
      <c r="J40" s="2909"/>
      <c r="K40" s="2967"/>
      <c r="L40" s="2212"/>
      <c r="M40" s="2206"/>
      <c r="N40" s="2247"/>
      <c r="O40" s="2929"/>
      <c r="P40" s="2512"/>
      <c r="Q40" s="2926"/>
      <c r="R40" s="2933"/>
      <c r="S40" s="775" t="s">
        <v>1021</v>
      </c>
      <c r="T40" s="1143">
        <v>50000000</v>
      </c>
      <c r="U40" s="1964">
        <v>88</v>
      </c>
      <c r="V40" s="1663" t="s">
        <v>466</v>
      </c>
      <c r="W40" s="2964"/>
      <c r="X40" s="2963"/>
      <c r="Y40" s="2963"/>
      <c r="Z40" s="2963"/>
      <c r="AA40" s="2963"/>
      <c r="AB40" s="2963"/>
      <c r="AC40" s="2963"/>
      <c r="AD40" s="2963"/>
      <c r="AE40" s="2963"/>
      <c r="AF40" s="2963"/>
      <c r="AG40" s="2963"/>
      <c r="AH40" s="2963"/>
      <c r="AI40" s="2963"/>
      <c r="AJ40" s="2963"/>
      <c r="AK40" s="2963"/>
      <c r="AL40" s="2963"/>
      <c r="AM40" s="2218"/>
      <c r="AN40" s="2218"/>
      <c r="AO40" s="2208"/>
    </row>
    <row r="41" spans="1:41" s="4" customFormat="1" ht="71.25" customHeight="1" x14ac:dyDescent="0.2">
      <c r="A41" s="246"/>
      <c r="C41" s="115"/>
      <c r="G41" s="2969">
        <v>3602029</v>
      </c>
      <c r="H41" s="2969" t="s">
        <v>1022</v>
      </c>
      <c r="I41" s="2321" t="s">
        <v>1023</v>
      </c>
      <c r="J41" s="2376" t="s">
        <v>1024</v>
      </c>
      <c r="K41" s="2969">
        <v>5</v>
      </c>
      <c r="L41" s="2212"/>
      <c r="M41" s="2206"/>
      <c r="N41" s="2247"/>
      <c r="O41" s="2938">
        <f>(T41+T42+T43)/P36</f>
        <v>2.7838810052723793E-2</v>
      </c>
      <c r="P41" s="2512"/>
      <c r="Q41" s="2926"/>
      <c r="R41" s="2933"/>
      <c r="S41" s="775" t="s">
        <v>1025</v>
      </c>
      <c r="T41" s="1143">
        <v>15400000</v>
      </c>
      <c r="U41" s="1708">
        <v>20</v>
      </c>
      <c r="V41" s="1634" t="s">
        <v>70</v>
      </c>
      <c r="W41" s="2963"/>
      <c r="X41" s="2963"/>
      <c r="Y41" s="2963"/>
      <c r="Z41" s="2963"/>
      <c r="AA41" s="2963"/>
      <c r="AB41" s="2963"/>
      <c r="AC41" s="2963"/>
      <c r="AD41" s="2963"/>
      <c r="AE41" s="2963"/>
      <c r="AF41" s="2963"/>
      <c r="AG41" s="2963"/>
      <c r="AH41" s="2963"/>
      <c r="AI41" s="2963"/>
      <c r="AJ41" s="2963"/>
      <c r="AK41" s="2963"/>
      <c r="AL41" s="2963"/>
      <c r="AM41" s="2218"/>
      <c r="AN41" s="2218"/>
      <c r="AO41" s="2208"/>
    </row>
    <row r="42" spans="1:41" s="4" customFormat="1" ht="86.25" customHeight="1" x14ac:dyDescent="0.2">
      <c r="A42" s="246"/>
      <c r="C42" s="115"/>
      <c r="G42" s="2970"/>
      <c r="H42" s="2971"/>
      <c r="I42" s="2356"/>
      <c r="J42" s="2377"/>
      <c r="K42" s="2970"/>
      <c r="L42" s="2212"/>
      <c r="M42" s="2206"/>
      <c r="N42" s="2247"/>
      <c r="O42" s="2939"/>
      <c r="P42" s="2512"/>
      <c r="Q42" s="2926"/>
      <c r="R42" s="2933"/>
      <c r="S42" s="775" t="s">
        <v>1026</v>
      </c>
      <c r="T42" s="1143">
        <f>14000000+5000000</f>
        <v>19000000</v>
      </c>
      <c r="U42" s="1964">
        <v>88</v>
      </c>
      <c r="V42" s="1663" t="s">
        <v>466</v>
      </c>
      <c r="W42" s="2964"/>
      <c r="X42" s="2963"/>
      <c r="Y42" s="2963"/>
      <c r="Z42" s="2963"/>
      <c r="AA42" s="2963"/>
      <c r="AB42" s="2963"/>
      <c r="AC42" s="2963"/>
      <c r="AD42" s="2963"/>
      <c r="AE42" s="2963"/>
      <c r="AF42" s="2963"/>
      <c r="AG42" s="2963"/>
      <c r="AH42" s="2963"/>
      <c r="AI42" s="2963"/>
      <c r="AJ42" s="2963"/>
      <c r="AK42" s="2963"/>
      <c r="AL42" s="2963"/>
      <c r="AM42" s="2218"/>
      <c r="AN42" s="2218"/>
      <c r="AO42" s="2208"/>
    </row>
    <row r="43" spans="1:41" s="4" customFormat="1" ht="86.25" customHeight="1" x14ac:dyDescent="0.2">
      <c r="A43" s="246"/>
      <c r="C43" s="115"/>
      <c r="G43" s="1170"/>
      <c r="H43" s="1171"/>
      <c r="I43" s="768"/>
      <c r="J43" s="770"/>
      <c r="K43" s="2966"/>
      <c r="L43" s="2212"/>
      <c r="M43" s="2206"/>
      <c r="N43" s="2247"/>
      <c r="O43" s="2940"/>
      <c r="P43" s="2512"/>
      <c r="Q43" s="2926"/>
      <c r="R43" s="2933"/>
      <c r="S43" s="775" t="s">
        <v>1027</v>
      </c>
      <c r="T43" s="1143"/>
      <c r="U43" s="1168"/>
      <c r="V43" s="1686"/>
      <c r="W43" s="2963"/>
      <c r="X43" s="2963"/>
      <c r="Y43" s="2963"/>
      <c r="Z43" s="2963"/>
      <c r="AA43" s="2963"/>
      <c r="AB43" s="2963"/>
      <c r="AC43" s="2963"/>
      <c r="AD43" s="2963"/>
      <c r="AE43" s="2963"/>
      <c r="AF43" s="2963"/>
      <c r="AG43" s="2963"/>
      <c r="AH43" s="2963"/>
      <c r="AI43" s="2963"/>
      <c r="AJ43" s="2963"/>
      <c r="AK43" s="2963"/>
      <c r="AL43" s="2963"/>
      <c r="AM43" s="2218"/>
      <c r="AN43" s="2218"/>
      <c r="AO43" s="2208"/>
    </row>
    <row r="44" spans="1:41" s="4" customFormat="1" ht="84.75" customHeight="1" x14ac:dyDescent="0.2">
      <c r="A44" s="246"/>
      <c r="C44" s="115"/>
      <c r="G44" s="2473">
        <v>3602030</v>
      </c>
      <c r="H44" s="2968" t="s">
        <v>1028</v>
      </c>
      <c r="I44" s="2247" t="s">
        <v>1029</v>
      </c>
      <c r="J44" s="2909" t="s">
        <v>1030</v>
      </c>
      <c r="K44" s="2473">
        <v>1</v>
      </c>
      <c r="L44" s="2212"/>
      <c r="M44" s="2206"/>
      <c r="N44" s="2247"/>
      <c r="O44" s="2929">
        <f>(T44+T45)/(P36)</f>
        <v>1.537608694772535E-2</v>
      </c>
      <c r="P44" s="2512"/>
      <c r="Q44" s="2926"/>
      <c r="R44" s="2933"/>
      <c r="S44" s="775" t="s">
        <v>1031</v>
      </c>
      <c r="T44" s="1143">
        <v>14000000</v>
      </c>
      <c r="U44" s="1964">
        <v>88</v>
      </c>
      <c r="V44" s="1663" t="s">
        <v>466</v>
      </c>
      <c r="W44" s="2964"/>
      <c r="X44" s="2963"/>
      <c r="Y44" s="2963"/>
      <c r="Z44" s="2963"/>
      <c r="AA44" s="2963"/>
      <c r="AB44" s="2963"/>
      <c r="AC44" s="2963"/>
      <c r="AD44" s="2963"/>
      <c r="AE44" s="2963"/>
      <c r="AF44" s="2963"/>
      <c r="AG44" s="2963"/>
      <c r="AH44" s="2963"/>
      <c r="AI44" s="2963"/>
      <c r="AJ44" s="2963"/>
      <c r="AK44" s="2963"/>
      <c r="AL44" s="2963"/>
      <c r="AM44" s="2218"/>
      <c r="AN44" s="2218"/>
      <c r="AO44" s="2208"/>
    </row>
    <row r="45" spans="1:41" s="4" customFormat="1" ht="75" customHeight="1" x14ac:dyDescent="0.2">
      <c r="A45" s="246"/>
      <c r="C45" s="115"/>
      <c r="D45" s="247"/>
      <c r="E45" s="247"/>
      <c r="F45" s="247"/>
      <c r="G45" s="2473"/>
      <c r="H45" s="2968"/>
      <c r="I45" s="2247"/>
      <c r="J45" s="2909"/>
      <c r="K45" s="2473"/>
      <c r="L45" s="2212"/>
      <c r="M45" s="2206"/>
      <c r="N45" s="2247"/>
      <c r="O45" s="2929"/>
      <c r="P45" s="2512"/>
      <c r="Q45" s="2207"/>
      <c r="R45" s="2934"/>
      <c r="S45" s="775" t="s">
        <v>1032</v>
      </c>
      <c r="T45" s="1143">
        <v>5000000</v>
      </c>
      <c r="U45" s="1964">
        <v>88</v>
      </c>
      <c r="V45" s="1663" t="s">
        <v>466</v>
      </c>
      <c r="W45" s="2964"/>
      <c r="X45" s="2963"/>
      <c r="Y45" s="2963"/>
      <c r="Z45" s="2963"/>
      <c r="AA45" s="2963"/>
      <c r="AB45" s="2963"/>
      <c r="AC45" s="2963"/>
      <c r="AD45" s="2963"/>
      <c r="AE45" s="2963"/>
      <c r="AF45" s="2963"/>
      <c r="AG45" s="2963"/>
      <c r="AH45" s="2963"/>
      <c r="AI45" s="2963"/>
      <c r="AJ45" s="2963"/>
      <c r="AK45" s="2963"/>
      <c r="AL45" s="2963"/>
      <c r="AM45" s="2218"/>
      <c r="AN45" s="2218"/>
      <c r="AO45" s="2208"/>
    </row>
    <row r="46" spans="1:41" s="4" customFormat="1" ht="33" customHeight="1" x14ac:dyDescent="0.2">
      <c r="A46" s="323"/>
      <c r="B46" s="324"/>
      <c r="C46" s="325"/>
      <c r="D46" s="326"/>
      <c r="E46" s="326"/>
      <c r="F46" s="327"/>
      <c r="G46" s="1172"/>
      <c r="H46" s="1172"/>
      <c r="I46" s="783"/>
      <c r="J46" s="783"/>
      <c r="K46" s="328"/>
      <c r="L46" s="783"/>
      <c r="M46" s="1173"/>
      <c r="N46" s="783"/>
      <c r="O46" s="331"/>
      <c r="P46" s="1174">
        <f>SUM(P11:P45)</f>
        <v>2778889071.8499999</v>
      </c>
      <c r="Q46" s="1139"/>
      <c r="R46" s="1139"/>
      <c r="S46" s="1139"/>
      <c r="T46" s="1175">
        <f>SUM(T11:T45)</f>
        <v>2778889071.8499999</v>
      </c>
      <c r="U46" s="777"/>
      <c r="V46" s="796"/>
      <c r="W46" s="1172"/>
      <c r="X46" s="1172"/>
      <c r="Y46" s="1172"/>
      <c r="Z46" s="1172"/>
      <c r="AA46" s="1172"/>
      <c r="AB46" s="1172"/>
      <c r="AC46" s="1172"/>
      <c r="AD46" s="1172"/>
      <c r="AE46" s="1172"/>
      <c r="AF46" s="1172"/>
      <c r="AG46" s="1172"/>
      <c r="AH46" s="1172"/>
      <c r="AI46" s="1172"/>
      <c r="AJ46" s="1172"/>
      <c r="AK46" s="1172"/>
      <c r="AL46" s="1172"/>
      <c r="AM46" s="1176"/>
      <c r="AN46" s="1177"/>
      <c r="AO46" s="1178"/>
    </row>
    <row r="47" spans="1:41" s="4" customFormat="1" ht="33" customHeight="1" x14ac:dyDescent="0.2">
      <c r="A47" s="114"/>
      <c r="B47" s="114"/>
      <c r="C47" s="114"/>
      <c r="D47" s="114"/>
      <c r="E47" s="114"/>
      <c r="F47" s="114"/>
      <c r="G47" s="170"/>
      <c r="H47" s="170"/>
      <c r="I47" s="162"/>
      <c r="J47" s="162"/>
      <c r="K47" s="3"/>
      <c r="L47" s="162"/>
      <c r="M47" s="163"/>
      <c r="N47" s="162"/>
      <c r="O47" s="164"/>
      <c r="P47" s="1179"/>
      <c r="Q47" s="302"/>
      <c r="R47" s="302"/>
      <c r="S47" s="302"/>
      <c r="T47" s="1179"/>
      <c r="U47" s="168"/>
      <c r="V47" s="169"/>
      <c r="W47" s="170"/>
      <c r="X47" s="170"/>
      <c r="Y47" s="170"/>
      <c r="Z47" s="170"/>
      <c r="AA47" s="170"/>
      <c r="AB47" s="170"/>
      <c r="AC47" s="170"/>
      <c r="AD47" s="170"/>
      <c r="AE47" s="170"/>
      <c r="AF47" s="170"/>
      <c r="AG47" s="170"/>
      <c r="AH47" s="170"/>
      <c r="AI47" s="170"/>
      <c r="AJ47" s="170"/>
      <c r="AK47" s="170"/>
      <c r="AL47" s="170"/>
      <c r="AM47" s="171"/>
      <c r="AN47" s="172"/>
      <c r="AO47" s="173"/>
    </row>
    <row r="48" spans="1:41" s="4" customFormat="1" ht="33" customHeight="1" x14ac:dyDescent="0.2">
      <c r="A48" s="114"/>
      <c r="B48" s="114"/>
      <c r="C48" s="114"/>
      <c r="D48" s="114"/>
      <c r="E48" s="114"/>
      <c r="F48" s="114"/>
      <c r="G48" s="170"/>
      <c r="H48" s="170"/>
      <c r="I48" s="162"/>
      <c r="J48" s="162"/>
      <c r="K48" s="3"/>
      <c r="L48" s="162"/>
      <c r="M48" s="163"/>
      <c r="N48" s="162"/>
      <c r="O48" s="164"/>
      <c r="P48" s="1179"/>
      <c r="Q48" s="302"/>
      <c r="R48" s="302"/>
      <c r="S48" s="302"/>
      <c r="T48" s="1179"/>
      <c r="U48" s="168"/>
      <c r="V48" s="169"/>
      <c r="W48" s="170"/>
      <c r="X48" s="170"/>
      <c r="Y48" s="170"/>
      <c r="Z48" s="170"/>
      <c r="AA48" s="170"/>
      <c r="AB48" s="170"/>
      <c r="AC48" s="170"/>
      <c r="AD48" s="170"/>
      <c r="AE48" s="170"/>
      <c r="AF48" s="170"/>
      <c r="AG48" s="170"/>
      <c r="AH48" s="170"/>
      <c r="AI48" s="170"/>
      <c r="AJ48" s="170"/>
      <c r="AK48" s="170"/>
      <c r="AL48" s="170"/>
      <c r="AM48" s="171"/>
      <c r="AN48" s="172"/>
      <c r="AO48" s="173"/>
    </row>
    <row r="49" spans="1:41" ht="15.75" x14ac:dyDescent="0.25">
      <c r="A49" s="1180"/>
      <c r="B49" s="1181"/>
      <c r="C49" s="173"/>
      <c r="D49" s="4"/>
      <c r="E49" s="4"/>
      <c r="F49" s="4"/>
      <c r="G49" s="170"/>
      <c r="H49" s="170"/>
      <c r="I49" s="302"/>
      <c r="J49" s="302"/>
      <c r="K49" s="4"/>
      <c r="L49" s="302"/>
      <c r="M49" s="170"/>
      <c r="N49" s="302"/>
      <c r="O49" s="1180"/>
      <c r="P49" s="1181"/>
      <c r="Q49" s="302"/>
      <c r="R49" s="302"/>
      <c r="S49" s="302"/>
      <c r="T49" s="1182"/>
      <c r="U49" s="1183"/>
      <c r="V49" s="1184"/>
      <c r="W49" s="170"/>
      <c r="X49" s="170"/>
      <c r="Y49" s="170"/>
      <c r="Z49" s="170"/>
      <c r="AA49" s="170"/>
      <c r="AB49" s="170"/>
      <c r="AC49" s="170"/>
      <c r="AD49" s="170"/>
      <c r="AE49" s="170"/>
      <c r="AF49" s="170"/>
      <c r="AG49" s="170"/>
      <c r="AH49" s="170"/>
      <c r="AI49" s="170"/>
      <c r="AJ49" s="170"/>
      <c r="AK49" s="170"/>
      <c r="AL49" s="170"/>
      <c r="AM49" s="171"/>
      <c r="AN49" s="172"/>
      <c r="AO49" s="173"/>
    </row>
    <row r="50" spans="1:41" ht="15.75" x14ac:dyDescent="0.25">
      <c r="A50" s="1180"/>
      <c r="B50" s="160"/>
      <c r="C50" s="173"/>
      <c r="D50" s="4"/>
      <c r="E50" s="4"/>
      <c r="F50" s="4"/>
      <c r="G50" s="170"/>
      <c r="H50" s="170"/>
      <c r="I50" s="302"/>
      <c r="J50" s="302"/>
      <c r="K50" s="4"/>
      <c r="L50" s="302"/>
      <c r="M50" s="170"/>
      <c r="N50" s="302"/>
      <c r="O50" s="1180"/>
      <c r="P50" s="1181"/>
      <c r="Q50" s="302"/>
      <c r="R50" s="302"/>
      <c r="S50" s="302"/>
      <c r="T50" s="1121"/>
      <c r="U50" s="1183"/>
      <c r="V50" s="1184"/>
      <c r="W50" s="170"/>
      <c r="X50" s="170"/>
      <c r="Y50" s="170"/>
      <c r="Z50" s="170"/>
      <c r="AA50" s="170"/>
      <c r="AB50" s="170"/>
      <c r="AC50" s="170"/>
      <c r="AD50" s="170"/>
      <c r="AE50" s="170"/>
      <c r="AF50" s="170"/>
      <c r="AG50" s="170"/>
      <c r="AH50" s="170"/>
      <c r="AI50" s="170"/>
      <c r="AJ50" s="170"/>
      <c r="AK50" s="170"/>
      <c r="AL50" s="170"/>
      <c r="AM50" s="171"/>
      <c r="AN50" s="172"/>
      <c r="AO50" s="173"/>
    </row>
    <row r="51" spans="1:41" ht="15.75" x14ac:dyDescent="0.25">
      <c r="A51" s="164"/>
      <c r="B51" s="160"/>
      <c r="C51" s="161"/>
      <c r="D51" s="4"/>
      <c r="E51" s="4"/>
      <c r="F51" s="4"/>
      <c r="G51" s="170"/>
      <c r="H51" s="170"/>
      <c r="I51" s="162"/>
      <c r="J51" s="162"/>
      <c r="K51" s="3"/>
      <c r="L51" s="162"/>
      <c r="M51" s="163"/>
      <c r="N51" s="162"/>
      <c r="O51" s="164"/>
      <c r="P51" s="1181"/>
      <c r="Q51" s="302"/>
      <c r="R51" s="302"/>
      <c r="S51" s="302"/>
      <c r="T51" s="1182"/>
      <c r="U51" s="168"/>
      <c r="V51" s="169"/>
      <c r="W51" s="170"/>
      <c r="X51" s="170"/>
      <c r="Y51" s="170"/>
      <c r="Z51" s="170"/>
      <c r="AA51" s="170"/>
      <c r="AB51" s="170"/>
      <c r="AC51" s="170"/>
      <c r="AD51" s="170"/>
      <c r="AE51" s="170"/>
      <c r="AF51" s="170"/>
      <c r="AG51" s="170"/>
      <c r="AH51" s="170"/>
      <c r="AI51" s="170"/>
      <c r="AJ51" s="170"/>
      <c r="AK51" s="170"/>
      <c r="AL51" s="170"/>
      <c r="AM51" s="171"/>
      <c r="AN51" s="172"/>
      <c r="AO51" s="173"/>
    </row>
    <row r="52" spans="1:41" ht="30" customHeight="1" x14ac:dyDescent="0.25">
      <c r="A52" s="164"/>
      <c r="B52" s="1185" t="s">
        <v>1033</v>
      </c>
      <c r="C52" s="1186"/>
      <c r="D52" s="1100"/>
      <c r="E52" s="1100"/>
      <c r="F52" s="1100"/>
      <c r="G52" s="841"/>
      <c r="H52" s="841"/>
      <c r="I52" s="162"/>
      <c r="J52" s="162"/>
      <c r="K52" s="3"/>
      <c r="L52" s="162"/>
      <c r="M52" s="163"/>
      <c r="N52" s="162"/>
      <c r="O52" s="164"/>
      <c r="P52" s="165"/>
      <c r="Q52" s="162"/>
      <c r="R52" s="162"/>
      <c r="S52" s="162"/>
      <c r="T52" s="871"/>
      <c r="U52" s="168"/>
      <c r="V52" s="169"/>
      <c r="W52" s="170"/>
      <c r="X52" s="170"/>
      <c r="Y52" s="170"/>
      <c r="Z52" s="170"/>
      <c r="AA52" s="170"/>
      <c r="AB52" s="170"/>
      <c r="AC52" s="170"/>
      <c r="AD52" s="170"/>
      <c r="AE52" s="170"/>
      <c r="AF52" s="170"/>
      <c r="AG52" s="170"/>
      <c r="AH52" s="170"/>
      <c r="AI52" s="170"/>
      <c r="AJ52" s="170"/>
      <c r="AK52" s="170"/>
      <c r="AL52" s="170"/>
      <c r="AM52" s="171"/>
      <c r="AN52" s="172"/>
      <c r="AO52" s="173"/>
    </row>
    <row r="53" spans="1:41" ht="18.75" customHeight="1" x14ac:dyDescent="0.25">
      <c r="B53" s="160" t="s">
        <v>1034</v>
      </c>
      <c r="C53" s="161"/>
      <c r="D53" s="4"/>
      <c r="E53" s="4"/>
      <c r="F53" s="4"/>
      <c r="G53" s="170"/>
      <c r="H53" s="170"/>
      <c r="L53" s="442"/>
      <c r="T53" s="445"/>
      <c r="AM53" s="1187"/>
    </row>
    <row r="54" spans="1:41" x14ac:dyDescent="0.25">
      <c r="G54" s="1188"/>
      <c r="H54" s="1188"/>
      <c r="L54" s="442"/>
      <c r="T54" s="1189"/>
      <c r="AM54" s="1187"/>
    </row>
    <row r="55" spans="1:41" x14ac:dyDescent="0.25">
      <c r="G55" s="1188"/>
      <c r="H55" s="1188"/>
      <c r="L55" s="442"/>
      <c r="AM55" s="1187"/>
    </row>
    <row r="56" spans="1:41" x14ac:dyDescent="0.25">
      <c r="G56" s="1188"/>
      <c r="H56" s="1188"/>
      <c r="L56" s="442"/>
      <c r="AM56" s="1187"/>
    </row>
  </sheetData>
  <sheetProtection password="A60F" sheet="1" objects="1" scenarios="1"/>
  <autoFilter ref="U1:U56"/>
  <mergeCells count="226">
    <mergeCell ref="G44:G45"/>
    <mergeCell ref="H44:H45"/>
    <mergeCell ref="I44:I45"/>
    <mergeCell ref="J44:J45"/>
    <mergeCell ref="K44:K45"/>
    <mergeCell ref="O44:O45"/>
    <mergeCell ref="G41:G42"/>
    <mergeCell ref="H41:H42"/>
    <mergeCell ref="I41:I42"/>
    <mergeCell ref="J41:J42"/>
    <mergeCell ref="K41:K43"/>
    <mergeCell ref="O41:O43"/>
    <mergeCell ref="AL36:AL45"/>
    <mergeCell ref="AM36:AM45"/>
    <mergeCell ref="AN36:AN45"/>
    <mergeCell ref="AO36:AO45"/>
    <mergeCell ref="S37:S38"/>
    <mergeCell ref="G39:G40"/>
    <mergeCell ref="H39:H40"/>
    <mergeCell ref="I39:I40"/>
    <mergeCell ref="J39:J40"/>
    <mergeCell ref="K39:K40"/>
    <mergeCell ref="AF36:AF45"/>
    <mergeCell ref="AG36:AG45"/>
    <mergeCell ref="AH36:AH45"/>
    <mergeCell ref="AI36:AI45"/>
    <mergeCell ref="AJ36:AJ45"/>
    <mergeCell ref="AK36:AK45"/>
    <mergeCell ref="Z36:Z45"/>
    <mergeCell ref="AA36:AA45"/>
    <mergeCell ref="AB36:AB45"/>
    <mergeCell ref="AC36:AC45"/>
    <mergeCell ref="AD36:AD45"/>
    <mergeCell ref="AE36:AE45"/>
    <mergeCell ref="P36:P45"/>
    <mergeCell ref="Q36:Q45"/>
    <mergeCell ref="R36:R45"/>
    <mergeCell ref="W36:W45"/>
    <mergeCell ref="X36:X45"/>
    <mergeCell ref="Y36:Y45"/>
    <mergeCell ref="J36:J38"/>
    <mergeCell ref="K36:K38"/>
    <mergeCell ref="L36:L45"/>
    <mergeCell ref="M36:M45"/>
    <mergeCell ref="N36:N45"/>
    <mergeCell ref="O36:O38"/>
    <mergeCell ref="O39:O40"/>
    <mergeCell ref="AO27:AO34"/>
    <mergeCell ref="S28:S29"/>
    <mergeCell ref="S30:S31"/>
    <mergeCell ref="S33:S34"/>
    <mergeCell ref="D36:D38"/>
    <mergeCell ref="E36:E38"/>
    <mergeCell ref="F36:F38"/>
    <mergeCell ref="G36:G38"/>
    <mergeCell ref="H36:H38"/>
    <mergeCell ref="I36:I38"/>
    <mergeCell ref="AI27:AI34"/>
    <mergeCell ref="AJ27:AJ34"/>
    <mergeCell ref="AK27:AK34"/>
    <mergeCell ref="AL27:AL34"/>
    <mergeCell ref="AM27:AM34"/>
    <mergeCell ref="AN27:AN34"/>
    <mergeCell ref="AC27:AC34"/>
    <mergeCell ref="AD27:AD34"/>
    <mergeCell ref="AE27:AE34"/>
    <mergeCell ref="AF27:AF34"/>
    <mergeCell ref="AG27:AG34"/>
    <mergeCell ref="AH27:AH34"/>
    <mergeCell ref="W27:W34"/>
    <mergeCell ref="X27:X34"/>
    <mergeCell ref="G27:G34"/>
    <mergeCell ref="H27:H34"/>
    <mergeCell ref="I27:I34"/>
    <mergeCell ref="J27:J34"/>
    <mergeCell ref="K27:K34"/>
    <mergeCell ref="L27:L34"/>
    <mergeCell ref="AL20:AL26"/>
    <mergeCell ref="AM20:AM26"/>
    <mergeCell ref="AN20:AN26"/>
    <mergeCell ref="Y27:Y34"/>
    <mergeCell ref="Z27:Z34"/>
    <mergeCell ref="AA27:AA34"/>
    <mergeCell ref="AB27:AB34"/>
    <mergeCell ref="M27:M34"/>
    <mergeCell ref="N27:N34"/>
    <mergeCell ref="O27:O34"/>
    <mergeCell ref="P27:P34"/>
    <mergeCell ref="Q27:Q34"/>
    <mergeCell ref="R27:R34"/>
    <mergeCell ref="AO20:AO26"/>
    <mergeCell ref="H24:H25"/>
    <mergeCell ref="J24:J25"/>
    <mergeCell ref="K24:K25"/>
    <mergeCell ref="O24:O25"/>
    <mergeCell ref="S24:S25"/>
    <mergeCell ref="AF20:AF26"/>
    <mergeCell ref="AG20:AG26"/>
    <mergeCell ref="AH20:AH26"/>
    <mergeCell ref="AI20:AI26"/>
    <mergeCell ref="AJ20:AJ26"/>
    <mergeCell ref="AK20:AK26"/>
    <mergeCell ref="Z20:Z26"/>
    <mergeCell ref="AA20:AA26"/>
    <mergeCell ref="AB20:AB26"/>
    <mergeCell ref="AC20:AC26"/>
    <mergeCell ref="AD20:AD26"/>
    <mergeCell ref="AE20:AE26"/>
    <mergeCell ref="P20:P26"/>
    <mergeCell ref="Q20:Q26"/>
    <mergeCell ref="R20:R26"/>
    <mergeCell ref="W20:W26"/>
    <mergeCell ref="X20:X26"/>
    <mergeCell ref="Y20:Y26"/>
    <mergeCell ref="AO16:AO19"/>
    <mergeCell ref="G20:G25"/>
    <mergeCell ref="H20:H23"/>
    <mergeCell ref="I20:I25"/>
    <mergeCell ref="J20:J23"/>
    <mergeCell ref="K20:K23"/>
    <mergeCell ref="L20:L26"/>
    <mergeCell ref="M20:M26"/>
    <mergeCell ref="N20:N26"/>
    <mergeCell ref="O20:O23"/>
    <mergeCell ref="AI16:AI19"/>
    <mergeCell ref="AJ16:AJ19"/>
    <mergeCell ref="AK16:AK19"/>
    <mergeCell ref="AL16:AL19"/>
    <mergeCell ref="AM16:AM19"/>
    <mergeCell ref="AN16:AN19"/>
    <mergeCell ref="AC16:AC19"/>
    <mergeCell ref="AD16:AD19"/>
    <mergeCell ref="AE16:AE19"/>
    <mergeCell ref="AF16:AF19"/>
    <mergeCell ref="AG16:AG19"/>
    <mergeCell ref="AH16:AH19"/>
    <mergeCell ref="W16:W19"/>
    <mergeCell ref="X16:X19"/>
    <mergeCell ref="Y16:Y19"/>
    <mergeCell ref="Z16:Z19"/>
    <mergeCell ref="AA16:AA19"/>
    <mergeCell ref="AB16:AB19"/>
    <mergeCell ref="M16:M19"/>
    <mergeCell ref="N16:N19"/>
    <mergeCell ref="O16:O18"/>
    <mergeCell ref="P16:P19"/>
    <mergeCell ref="Q16:Q19"/>
    <mergeCell ref="R16:R19"/>
    <mergeCell ref="G16:G18"/>
    <mergeCell ref="H16:H18"/>
    <mergeCell ref="I16:I18"/>
    <mergeCell ref="J16:J18"/>
    <mergeCell ref="K16:K18"/>
    <mergeCell ref="L16:L19"/>
    <mergeCell ref="AM11:AM15"/>
    <mergeCell ref="AN11:AN15"/>
    <mergeCell ref="AO11:AO15"/>
    <mergeCell ref="G13:G15"/>
    <mergeCell ref="H13:H15"/>
    <mergeCell ref="I13:I15"/>
    <mergeCell ref="J13:J15"/>
    <mergeCell ref="K13:K15"/>
    <mergeCell ref="O13:O15"/>
    <mergeCell ref="S13:S14"/>
    <mergeCell ref="AF11:AF15"/>
    <mergeCell ref="AG11:AG15"/>
    <mergeCell ref="AI11:AI15"/>
    <mergeCell ref="AJ11:AJ15"/>
    <mergeCell ref="AK11:AK15"/>
    <mergeCell ref="AL11:AL15"/>
    <mergeCell ref="Z11:Z15"/>
    <mergeCell ref="AA11:AA15"/>
    <mergeCell ref="Q11:Q15"/>
    <mergeCell ref="R11:R15"/>
    <mergeCell ref="S11:S12"/>
    <mergeCell ref="AM7:AM8"/>
    <mergeCell ref="AN7:AN8"/>
    <mergeCell ref="AO7:AO8"/>
    <mergeCell ref="W7:X7"/>
    <mergeCell ref="Y7:AB7"/>
    <mergeCell ref="AC7:AH7"/>
    <mergeCell ref="AI7:AK7"/>
    <mergeCell ref="AB11:AB15"/>
    <mergeCell ref="AC11:AC15"/>
    <mergeCell ref="AD11:AD15"/>
    <mergeCell ref="AE11:AE15"/>
    <mergeCell ref="T11:T12"/>
    <mergeCell ref="U11:U12"/>
    <mergeCell ref="V11:V12"/>
    <mergeCell ref="W11:W15"/>
    <mergeCell ref="X11:X15"/>
    <mergeCell ref="Y11:Y15"/>
    <mergeCell ref="G11:G12"/>
    <mergeCell ref="H11:H12"/>
    <mergeCell ref="I11:I12"/>
    <mergeCell ref="J11:J12"/>
    <mergeCell ref="K11:K12"/>
    <mergeCell ref="L11:L15"/>
    <mergeCell ref="M11:M15"/>
    <mergeCell ref="U7:U8"/>
    <mergeCell ref="V7:V8"/>
    <mergeCell ref="O7:O8"/>
    <mergeCell ref="P7:P8"/>
    <mergeCell ref="Q7:Q8"/>
    <mergeCell ref="R7:R8"/>
    <mergeCell ref="S7:S8"/>
    <mergeCell ref="T7:T8"/>
    <mergeCell ref="I7:I8"/>
    <mergeCell ref="J7:J8"/>
    <mergeCell ref="K7:K8"/>
    <mergeCell ref="L7:L8"/>
    <mergeCell ref="M7:M8"/>
    <mergeCell ref="N7:N8"/>
    <mergeCell ref="N11:N15"/>
    <mergeCell ref="O11:O12"/>
    <mergeCell ref="P11:P15"/>
    <mergeCell ref="A1:AM4"/>
    <mergeCell ref="A5:K6"/>
    <mergeCell ref="L5:AO5"/>
    <mergeCell ref="W6:AL6"/>
    <mergeCell ref="A7:A8"/>
    <mergeCell ref="B7:C8"/>
    <mergeCell ref="D7:D8"/>
    <mergeCell ref="E7:F8"/>
    <mergeCell ref="G7:G8"/>
    <mergeCell ref="H7:H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101"/>
  <sheetViews>
    <sheetView showGridLines="0" zoomScale="60" zoomScaleNormal="60" workbookViewId="0">
      <selection sqref="A1:AC4"/>
    </sheetView>
  </sheetViews>
  <sheetFormatPr baseColWidth="10" defaultRowHeight="12.75" x14ac:dyDescent="0.2"/>
  <cols>
    <col min="1" max="1" width="11.7109375" style="465" bestFit="1" customWidth="1"/>
    <col min="2" max="2" width="8.28515625" style="465" customWidth="1"/>
    <col min="3" max="3" width="11.7109375" style="465" customWidth="1"/>
    <col min="4" max="4" width="16.42578125" style="465" customWidth="1"/>
    <col min="5" max="5" width="7.85546875" style="465" customWidth="1"/>
    <col min="6" max="6" width="11" style="465" customWidth="1"/>
    <col min="7" max="7" width="11.7109375" style="604" bestFit="1" customWidth="1"/>
    <col min="8" max="8" width="18.7109375" style="604" customWidth="1"/>
    <col min="9" max="9" width="36.5703125" style="605" customWidth="1"/>
    <col min="10" max="10" width="41.85546875" style="605" customWidth="1"/>
    <col min="11" max="11" width="22.5703125" style="604" customWidth="1"/>
    <col min="12" max="12" width="37.140625" style="605" customWidth="1"/>
    <col min="13" max="13" width="23.28515625" style="465" customWidth="1"/>
    <col min="14" max="14" width="34.42578125" style="605" customWidth="1"/>
    <col min="15" max="15" width="13" style="465" customWidth="1"/>
    <col min="16" max="16" width="32" style="465" customWidth="1"/>
    <col min="17" max="17" width="45" style="605" customWidth="1"/>
    <col min="18" max="18" width="94.140625" style="605" customWidth="1"/>
    <col min="19" max="19" width="85.7109375" style="605" customWidth="1"/>
    <col min="20" max="20" width="32.85546875" style="465" customWidth="1"/>
    <col min="21" max="21" width="18.5703125" style="465" customWidth="1"/>
    <col min="22" max="22" width="26.140625" style="465" customWidth="1"/>
    <col min="23" max="23" width="14.140625" style="465" customWidth="1"/>
    <col min="24" max="24" width="11.85546875" style="465" customWidth="1"/>
    <col min="25" max="38" width="12.85546875" style="465" customWidth="1"/>
    <col min="39" max="39" width="18.28515625" style="465" customWidth="1"/>
    <col min="40" max="40" width="22" style="465" customWidth="1"/>
    <col min="41" max="41" width="23.5703125" style="465" customWidth="1"/>
    <col min="42" max="42" width="18.85546875" style="465" customWidth="1"/>
    <col min="43" max="43" width="26.85546875" style="465" customWidth="1"/>
    <col min="44" max="16384" width="11.42578125" style="465"/>
  </cols>
  <sheetData>
    <row r="1" spans="1:49" s="458" customFormat="1" ht="15" customHeight="1" x14ac:dyDescent="0.2">
      <c r="A1" s="2147" t="s">
        <v>323</v>
      </c>
      <c r="B1" s="2148"/>
      <c r="C1" s="2148"/>
      <c r="D1" s="2148"/>
      <c r="E1" s="2148"/>
      <c r="F1" s="2148"/>
      <c r="G1" s="2148"/>
      <c r="H1" s="2148"/>
      <c r="I1" s="2148"/>
      <c r="J1" s="2148"/>
      <c r="K1" s="2148"/>
      <c r="L1" s="2148"/>
      <c r="M1" s="2148"/>
      <c r="N1" s="2148"/>
      <c r="O1" s="2148"/>
      <c r="P1" s="2148"/>
      <c r="Q1" s="2148"/>
      <c r="R1" s="2148"/>
      <c r="S1" s="2148"/>
      <c r="T1" s="2148"/>
      <c r="U1" s="2148"/>
      <c r="V1" s="2148"/>
      <c r="W1" s="2148"/>
      <c r="X1" s="2148"/>
      <c r="Y1" s="2148"/>
      <c r="Z1" s="2148"/>
      <c r="AA1" s="2148"/>
      <c r="AB1" s="2148"/>
      <c r="AC1" s="2148"/>
      <c r="AN1" s="358" t="s">
        <v>1</v>
      </c>
      <c r="AO1" s="459" t="s">
        <v>210</v>
      </c>
    </row>
    <row r="2" spans="1:49" s="458" customFormat="1" ht="15" x14ac:dyDescent="0.2">
      <c r="A2" s="2147"/>
      <c r="B2" s="2148"/>
      <c r="C2" s="2148"/>
      <c r="D2" s="2148"/>
      <c r="E2" s="2148"/>
      <c r="F2" s="2148"/>
      <c r="G2" s="2148"/>
      <c r="H2" s="2148"/>
      <c r="I2" s="2148"/>
      <c r="J2" s="2148"/>
      <c r="K2" s="2148"/>
      <c r="L2" s="2148"/>
      <c r="M2" s="2148"/>
      <c r="N2" s="2148"/>
      <c r="O2" s="2148"/>
      <c r="P2" s="2148"/>
      <c r="Q2" s="2148"/>
      <c r="R2" s="2148"/>
      <c r="S2" s="2148"/>
      <c r="T2" s="2148"/>
      <c r="U2" s="2148"/>
      <c r="V2" s="2148"/>
      <c r="W2" s="2148"/>
      <c r="X2" s="2148"/>
      <c r="Y2" s="2148"/>
      <c r="Z2" s="2148"/>
      <c r="AA2" s="2148"/>
      <c r="AB2" s="2148"/>
      <c r="AC2" s="2148"/>
      <c r="AN2" s="361" t="s">
        <v>3</v>
      </c>
      <c r="AO2" s="460">
        <v>6</v>
      </c>
    </row>
    <row r="3" spans="1:49" s="458" customFormat="1" ht="15" x14ac:dyDescent="0.2">
      <c r="A3" s="2147"/>
      <c r="B3" s="2148"/>
      <c r="C3" s="2148"/>
      <c r="D3" s="2148"/>
      <c r="E3" s="2148"/>
      <c r="F3" s="2148"/>
      <c r="G3" s="2148"/>
      <c r="H3" s="2148"/>
      <c r="I3" s="2148"/>
      <c r="J3" s="2148"/>
      <c r="K3" s="2148"/>
      <c r="L3" s="2148"/>
      <c r="M3" s="2148"/>
      <c r="N3" s="2148"/>
      <c r="O3" s="2148"/>
      <c r="P3" s="2148"/>
      <c r="Q3" s="2148"/>
      <c r="R3" s="2148"/>
      <c r="S3" s="2148"/>
      <c r="T3" s="2148"/>
      <c r="U3" s="2148"/>
      <c r="V3" s="2148"/>
      <c r="W3" s="2148"/>
      <c r="X3" s="2148"/>
      <c r="Y3" s="2148"/>
      <c r="Z3" s="2148"/>
      <c r="AA3" s="2148"/>
      <c r="AB3" s="2148"/>
      <c r="AC3" s="2148"/>
      <c r="AN3" s="361" t="s">
        <v>5</v>
      </c>
      <c r="AO3" s="461" t="s">
        <v>6</v>
      </c>
    </row>
    <row r="4" spans="1:49" s="462" customFormat="1" ht="15" x14ac:dyDescent="0.2">
      <c r="A4" s="2149"/>
      <c r="B4" s="2150"/>
      <c r="C4" s="2150"/>
      <c r="D4" s="2150"/>
      <c r="E4" s="2150"/>
      <c r="F4" s="2150"/>
      <c r="G4" s="2150"/>
      <c r="H4" s="2150"/>
      <c r="I4" s="2150"/>
      <c r="J4" s="2150"/>
      <c r="K4" s="2150"/>
      <c r="L4" s="2150"/>
      <c r="M4" s="2150"/>
      <c r="N4" s="2150"/>
      <c r="O4" s="2150"/>
      <c r="P4" s="2150"/>
      <c r="Q4" s="2150"/>
      <c r="R4" s="2150"/>
      <c r="S4" s="2150"/>
      <c r="T4" s="2150"/>
      <c r="U4" s="2150"/>
      <c r="V4" s="2150"/>
      <c r="W4" s="2148"/>
      <c r="X4" s="2148"/>
      <c r="Y4" s="2148"/>
      <c r="Z4" s="2148"/>
      <c r="AA4" s="2148"/>
      <c r="AB4" s="2148"/>
      <c r="AC4" s="2148"/>
      <c r="AN4" s="463" t="s">
        <v>7</v>
      </c>
      <c r="AO4" s="464" t="s">
        <v>287</v>
      </c>
    </row>
    <row r="5" spans="1:49" ht="44.25" customHeight="1" x14ac:dyDescent="0.2">
      <c r="A5" s="3178" t="s">
        <v>288</v>
      </c>
      <c r="B5" s="3178"/>
      <c r="C5" s="3178"/>
      <c r="D5" s="3178"/>
      <c r="E5" s="3178"/>
      <c r="F5" s="3178"/>
      <c r="G5" s="3178"/>
      <c r="H5" s="3178"/>
      <c r="I5" s="3178"/>
      <c r="J5" s="3178"/>
      <c r="K5" s="3178"/>
      <c r="L5" s="3179" t="s">
        <v>10</v>
      </c>
      <c r="M5" s="3180"/>
      <c r="N5" s="3180"/>
      <c r="O5" s="3180"/>
      <c r="P5" s="3180"/>
      <c r="Q5" s="3180"/>
      <c r="R5" s="3180"/>
      <c r="S5" s="3180"/>
      <c r="T5" s="3180"/>
      <c r="U5" s="3180"/>
      <c r="V5" s="3181"/>
      <c r="W5" s="3178"/>
      <c r="X5" s="3178"/>
      <c r="Y5" s="3178"/>
      <c r="Z5" s="3178"/>
      <c r="AA5" s="3178"/>
      <c r="AB5" s="3178"/>
      <c r="AC5" s="3178"/>
      <c r="AD5" s="3178"/>
      <c r="AE5" s="3178"/>
      <c r="AF5" s="3178"/>
      <c r="AG5" s="3178"/>
      <c r="AH5" s="3178"/>
      <c r="AI5" s="3178"/>
      <c r="AJ5" s="3178"/>
      <c r="AK5" s="3178"/>
      <c r="AL5" s="3178"/>
      <c r="AM5" s="3178"/>
      <c r="AN5" s="3178"/>
      <c r="AO5" s="3178"/>
      <c r="AR5" s="466"/>
      <c r="AS5" s="466"/>
      <c r="AT5" s="466"/>
      <c r="AU5" s="466"/>
      <c r="AV5" s="466"/>
      <c r="AW5" s="466"/>
    </row>
    <row r="6" spans="1:49" ht="37.5" customHeight="1" x14ac:dyDescent="0.2">
      <c r="A6" s="467"/>
      <c r="B6" s="468"/>
      <c r="C6" s="468"/>
      <c r="D6" s="468"/>
      <c r="E6" s="468"/>
      <c r="F6" s="468"/>
      <c r="G6" s="468"/>
      <c r="H6" s="468"/>
      <c r="I6" s="468"/>
      <c r="J6" s="468"/>
      <c r="K6" s="468"/>
      <c r="L6" s="469"/>
      <c r="M6" s="470"/>
      <c r="N6" s="471"/>
      <c r="O6" s="472"/>
      <c r="P6" s="473"/>
      <c r="Q6" s="471"/>
      <c r="R6" s="471"/>
      <c r="S6" s="471"/>
      <c r="T6" s="472"/>
      <c r="U6" s="472"/>
      <c r="V6" s="472"/>
      <c r="W6" s="3178" t="s">
        <v>11</v>
      </c>
      <c r="X6" s="3178"/>
      <c r="Y6" s="3178"/>
      <c r="Z6" s="3178"/>
      <c r="AA6" s="3178"/>
      <c r="AB6" s="3178"/>
      <c r="AC6" s="3178"/>
      <c r="AD6" s="3178"/>
      <c r="AE6" s="3178"/>
      <c r="AF6" s="3178"/>
      <c r="AG6" s="3178"/>
      <c r="AH6" s="3178"/>
      <c r="AI6" s="3178"/>
      <c r="AJ6" s="3178"/>
      <c r="AK6" s="3178"/>
      <c r="AL6" s="3178"/>
      <c r="AM6" s="474"/>
      <c r="AN6" s="475"/>
      <c r="AO6" s="476"/>
      <c r="AR6" s="466"/>
      <c r="AS6" s="466"/>
      <c r="AT6" s="466"/>
      <c r="AU6" s="466"/>
      <c r="AV6" s="466"/>
      <c r="AW6" s="466"/>
    </row>
    <row r="7" spans="1:49" ht="52.5" customHeight="1" x14ac:dyDescent="0.2">
      <c r="A7" s="3182" t="s">
        <v>12</v>
      </c>
      <c r="B7" s="3170" t="s">
        <v>13</v>
      </c>
      <c r="C7" s="3170"/>
      <c r="D7" s="3170" t="s">
        <v>12</v>
      </c>
      <c r="E7" s="3170" t="s">
        <v>14</v>
      </c>
      <c r="F7" s="3170"/>
      <c r="G7" s="3170" t="s">
        <v>12</v>
      </c>
      <c r="H7" s="477"/>
      <c r="I7" s="3176" t="s">
        <v>15</v>
      </c>
      <c r="J7" s="3176" t="s">
        <v>16</v>
      </c>
      <c r="K7" s="3173" t="s">
        <v>17</v>
      </c>
      <c r="L7" s="3176" t="s">
        <v>18</v>
      </c>
      <c r="M7" s="3170" t="s">
        <v>19</v>
      </c>
      <c r="N7" s="3176" t="s">
        <v>10</v>
      </c>
      <c r="O7" s="3177" t="s">
        <v>20</v>
      </c>
      <c r="P7" s="3169" t="s">
        <v>21</v>
      </c>
      <c r="Q7" s="3170" t="s">
        <v>22</v>
      </c>
      <c r="R7" s="3170" t="s">
        <v>23</v>
      </c>
      <c r="S7" s="3170" t="s">
        <v>24</v>
      </c>
      <c r="T7" s="478" t="s">
        <v>21</v>
      </c>
      <c r="U7" s="3171" t="s">
        <v>12</v>
      </c>
      <c r="V7" s="3173" t="s">
        <v>25</v>
      </c>
      <c r="W7" s="3161" t="s">
        <v>26</v>
      </c>
      <c r="X7" s="3162"/>
      <c r="Y7" s="3163" t="s">
        <v>27</v>
      </c>
      <c r="Z7" s="3164"/>
      <c r="AA7" s="3164"/>
      <c r="AB7" s="3164"/>
      <c r="AC7" s="3165" t="s">
        <v>28</v>
      </c>
      <c r="AD7" s="3166"/>
      <c r="AE7" s="3166"/>
      <c r="AF7" s="3166"/>
      <c r="AG7" s="3166"/>
      <c r="AH7" s="3166"/>
      <c r="AI7" s="3163" t="s">
        <v>29</v>
      </c>
      <c r="AJ7" s="3164"/>
      <c r="AK7" s="3164"/>
      <c r="AL7" s="3167" t="s">
        <v>30</v>
      </c>
      <c r="AM7" s="3158" t="s">
        <v>31</v>
      </c>
      <c r="AN7" s="3158" t="s">
        <v>32</v>
      </c>
      <c r="AO7" s="3160" t="s">
        <v>33</v>
      </c>
      <c r="AR7" s="466"/>
      <c r="AS7" s="466"/>
      <c r="AT7" s="466"/>
      <c r="AU7" s="466"/>
      <c r="AV7" s="466"/>
      <c r="AW7" s="466"/>
    </row>
    <row r="8" spans="1:49" ht="141" customHeight="1" x14ac:dyDescent="0.2">
      <c r="A8" s="3182"/>
      <c r="B8" s="3170"/>
      <c r="C8" s="3170"/>
      <c r="D8" s="3170"/>
      <c r="E8" s="3170"/>
      <c r="F8" s="3170"/>
      <c r="G8" s="3170"/>
      <c r="H8" s="477" t="s">
        <v>324</v>
      </c>
      <c r="I8" s="3176"/>
      <c r="J8" s="3176"/>
      <c r="K8" s="3183"/>
      <c r="L8" s="3176"/>
      <c r="M8" s="3170"/>
      <c r="N8" s="3176"/>
      <c r="O8" s="3177"/>
      <c r="P8" s="3169"/>
      <c r="Q8" s="3170"/>
      <c r="R8" s="3170"/>
      <c r="S8" s="3170"/>
      <c r="T8" s="478" t="s">
        <v>212</v>
      </c>
      <c r="U8" s="3172"/>
      <c r="V8" s="3174"/>
      <c r="W8" s="1966" t="s">
        <v>35</v>
      </c>
      <c r="X8" s="1966" t="s">
        <v>36</v>
      </c>
      <c r="Y8" s="1966" t="s">
        <v>37</v>
      </c>
      <c r="Z8" s="1966" t="s">
        <v>38</v>
      </c>
      <c r="AA8" s="1966" t="s">
        <v>39</v>
      </c>
      <c r="AB8" s="1966" t="s">
        <v>40</v>
      </c>
      <c r="AC8" s="1966" t="s">
        <v>41</v>
      </c>
      <c r="AD8" s="1966" t="s">
        <v>42</v>
      </c>
      <c r="AE8" s="1966" t="s">
        <v>43</v>
      </c>
      <c r="AF8" s="1966" t="s">
        <v>44</v>
      </c>
      <c r="AG8" s="1966" t="s">
        <v>45</v>
      </c>
      <c r="AH8" s="1966" t="s">
        <v>292</v>
      </c>
      <c r="AI8" s="1966" t="s">
        <v>47</v>
      </c>
      <c r="AJ8" s="1966" t="s">
        <v>48</v>
      </c>
      <c r="AK8" s="1966" t="s">
        <v>49</v>
      </c>
      <c r="AL8" s="3168"/>
      <c r="AM8" s="3159"/>
      <c r="AN8" s="3159"/>
      <c r="AO8" s="3160"/>
      <c r="AR8" s="466"/>
      <c r="AS8" s="466"/>
      <c r="AT8" s="466"/>
      <c r="AU8" s="466"/>
      <c r="AV8" s="466"/>
      <c r="AW8" s="466"/>
    </row>
    <row r="9" spans="1:49" s="485" customFormat="1" ht="15.75" x14ac:dyDescent="0.25">
      <c r="A9" s="479">
        <v>2</v>
      </c>
      <c r="B9" s="480" t="s">
        <v>326</v>
      </c>
      <c r="C9" s="480"/>
      <c r="D9" s="23"/>
      <c r="E9" s="23"/>
      <c r="F9" s="23"/>
      <c r="G9" s="26"/>
      <c r="H9" s="26"/>
      <c r="I9" s="25"/>
      <c r="J9" s="25"/>
      <c r="K9" s="26"/>
      <c r="L9" s="25"/>
      <c r="M9" s="26"/>
      <c r="N9" s="25"/>
      <c r="O9" s="27"/>
      <c r="P9" s="28"/>
      <c r="Q9" s="25"/>
      <c r="R9" s="25"/>
      <c r="S9" s="25"/>
      <c r="T9" s="481"/>
      <c r="U9" s="481"/>
      <c r="V9" s="481"/>
      <c r="W9" s="31"/>
      <c r="X9" s="26"/>
      <c r="Y9" s="26"/>
      <c r="Z9" s="26"/>
      <c r="AA9" s="26"/>
      <c r="AB9" s="26"/>
      <c r="AC9" s="26"/>
      <c r="AD9" s="26"/>
      <c r="AE9" s="26"/>
      <c r="AF9" s="26"/>
      <c r="AG9" s="26"/>
      <c r="AH9" s="26"/>
      <c r="AI9" s="26"/>
      <c r="AJ9" s="26"/>
      <c r="AK9" s="26"/>
      <c r="AL9" s="26"/>
      <c r="AM9" s="26"/>
      <c r="AN9" s="32"/>
      <c r="AO9" s="32"/>
      <c r="AP9" s="482"/>
      <c r="AQ9" s="483"/>
      <c r="AR9" s="484"/>
      <c r="AS9" s="484"/>
      <c r="AT9" s="3"/>
      <c r="AU9" s="3"/>
      <c r="AV9" s="3"/>
      <c r="AW9" s="3"/>
    </row>
    <row r="10" spans="1:49" s="485" customFormat="1" ht="15.75" x14ac:dyDescent="0.25">
      <c r="A10" s="2176"/>
      <c r="B10" s="2177"/>
      <c r="C10" s="2178"/>
      <c r="D10" s="486">
        <v>4</v>
      </c>
      <c r="E10" s="2385" t="s">
        <v>327</v>
      </c>
      <c r="F10" s="2385"/>
      <c r="G10" s="2386"/>
      <c r="H10" s="2386"/>
      <c r="I10" s="2386"/>
      <c r="J10" s="2386"/>
      <c r="K10" s="2386"/>
      <c r="L10" s="2386"/>
      <c r="M10" s="2386"/>
      <c r="N10" s="390"/>
      <c r="O10" s="391"/>
      <c r="P10" s="392"/>
      <c r="Q10" s="390"/>
      <c r="R10" s="390"/>
      <c r="S10" s="390"/>
      <c r="T10" s="487"/>
      <c r="U10" s="487"/>
      <c r="V10" s="487"/>
      <c r="W10" s="488"/>
      <c r="X10" s="396"/>
      <c r="Y10" s="396"/>
      <c r="Z10" s="396"/>
      <c r="AA10" s="396"/>
      <c r="AB10" s="396"/>
      <c r="AC10" s="396"/>
      <c r="AD10" s="396"/>
      <c r="AE10" s="396"/>
      <c r="AF10" s="396"/>
      <c r="AG10" s="396"/>
      <c r="AH10" s="396"/>
      <c r="AI10" s="396"/>
      <c r="AJ10" s="396"/>
      <c r="AK10" s="396"/>
      <c r="AL10" s="396"/>
      <c r="AM10" s="396"/>
      <c r="AN10" s="489"/>
      <c r="AO10" s="490"/>
      <c r="AP10" s="482"/>
      <c r="AQ10" s="483"/>
      <c r="AR10" s="484"/>
      <c r="AS10" s="484"/>
      <c r="AT10" s="3"/>
      <c r="AU10" s="3"/>
      <c r="AV10" s="3"/>
      <c r="AW10" s="3"/>
    </row>
    <row r="11" spans="1:49" s="485" customFormat="1" ht="105" customHeight="1" x14ac:dyDescent="0.25">
      <c r="A11" s="50"/>
      <c r="B11" s="491"/>
      <c r="C11" s="491"/>
      <c r="D11" s="2957"/>
      <c r="E11" s="3152"/>
      <c r="F11" s="2959"/>
      <c r="G11" s="3154">
        <v>1702011</v>
      </c>
      <c r="H11" s="3155" t="s">
        <v>328</v>
      </c>
      <c r="I11" s="2302" t="s">
        <v>329</v>
      </c>
      <c r="J11" s="3156" t="s">
        <v>330</v>
      </c>
      <c r="K11" s="2707">
        <v>30</v>
      </c>
      <c r="L11" s="3149" t="s">
        <v>331</v>
      </c>
      <c r="M11" s="3150" t="s">
        <v>332</v>
      </c>
      <c r="N11" s="2302" t="s">
        <v>333</v>
      </c>
      <c r="O11" s="2415">
        <v>0.85600760159770095</v>
      </c>
      <c r="P11" s="3151">
        <v>389627523.97000003</v>
      </c>
      <c r="Q11" s="2442" t="s">
        <v>334</v>
      </c>
      <c r="R11" s="2207" t="s">
        <v>335</v>
      </c>
      <c r="S11" s="253" t="s">
        <v>336</v>
      </c>
      <c r="T11" s="1967">
        <v>160049999</v>
      </c>
      <c r="U11" s="492">
        <v>20</v>
      </c>
      <c r="V11" s="1651" t="s">
        <v>70</v>
      </c>
      <c r="W11" s="3175">
        <v>170</v>
      </c>
      <c r="X11" s="3147">
        <v>200</v>
      </c>
      <c r="Y11" s="3147">
        <v>0</v>
      </c>
      <c r="Z11" s="3147">
        <v>0</v>
      </c>
      <c r="AA11" s="3147">
        <v>300</v>
      </c>
      <c r="AB11" s="3147">
        <v>10</v>
      </c>
      <c r="AC11" s="3147">
        <v>0</v>
      </c>
      <c r="AD11" s="3147">
        <v>0</v>
      </c>
      <c r="AE11" s="3147">
        <v>0</v>
      </c>
      <c r="AF11" s="3147">
        <v>0</v>
      </c>
      <c r="AG11" s="3147">
        <v>0</v>
      </c>
      <c r="AH11" s="3147">
        <v>0</v>
      </c>
      <c r="AI11" s="3147">
        <v>0</v>
      </c>
      <c r="AJ11" s="3147">
        <v>0</v>
      </c>
      <c r="AK11" s="3147">
        <v>0</v>
      </c>
      <c r="AL11" s="3147">
        <v>370</v>
      </c>
      <c r="AM11" s="3139">
        <v>43832</v>
      </c>
      <c r="AN11" s="3139">
        <v>44012</v>
      </c>
      <c r="AO11" s="3016" t="s">
        <v>337</v>
      </c>
      <c r="AP11" s="484"/>
      <c r="AQ11" s="484"/>
      <c r="AR11" s="484"/>
      <c r="AS11" s="484"/>
      <c r="AT11" s="58"/>
      <c r="AU11" s="58"/>
    </row>
    <row r="12" spans="1:49" s="485" customFormat="1" ht="105" customHeight="1" x14ac:dyDescent="0.25">
      <c r="A12" s="398"/>
      <c r="B12" s="493"/>
      <c r="C12" s="493"/>
      <c r="D12" s="2958"/>
      <c r="E12" s="3153"/>
      <c r="F12" s="2960"/>
      <c r="G12" s="3038"/>
      <c r="H12" s="3089"/>
      <c r="I12" s="2303"/>
      <c r="J12" s="3157"/>
      <c r="K12" s="2668"/>
      <c r="L12" s="2427"/>
      <c r="M12" s="2414"/>
      <c r="N12" s="2303"/>
      <c r="O12" s="2362"/>
      <c r="P12" s="3135"/>
      <c r="Q12" s="2267"/>
      <c r="R12" s="2208"/>
      <c r="S12" s="353" t="s">
        <v>338</v>
      </c>
      <c r="T12" s="1968">
        <v>100000000</v>
      </c>
      <c r="U12" s="347">
        <v>88</v>
      </c>
      <c r="V12" s="1651" t="s">
        <v>339</v>
      </c>
      <c r="W12" s="3175"/>
      <c r="X12" s="3148"/>
      <c r="Y12" s="3148"/>
      <c r="Z12" s="3148"/>
      <c r="AA12" s="3148"/>
      <c r="AB12" s="3148"/>
      <c r="AC12" s="3148"/>
      <c r="AD12" s="3148"/>
      <c r="AE12" s="3148"/>
      <c r="AF12" s="3148"/>
      <c r="AG12" s="3148"/>
      <c r="AH12" s="3148"/>
      <c r="AI12" s="3148"/>
      <c r="AJ12" s="3148"/>
      <c r="AK12" s="3148"/>
      <c r="AL12" s="3148"/>
      <c r="AM12" s="3140"/>
      <c r="AN12" s="3140"/>
      <c r="AO12" s="3016"/>
      <c r="AP12" s="3"/>
      <c r="AQ12" s="3"/>
      <c r="AR12" s="3"/>
      <c r="AS12" s="3"/>
      <c r="AT12" s="3"/>
      <c r="AU12" s="3"/>
    </row>
    <row r="13" spans="1:49" s="485" customFormat="1" ht="105" customHeight="1" x14ac:dyDescent="0.25">
      <c r="A13" s="398"/>
      <c r="B13" s="493"/>
      <c r="C13" s="493"/>
      <c r="D13" s="398"/>
      <c r="E13" s="3153"/>
      <c r="F13" s="2960"/>
      <c r="G13" s="494">
        <v>1702007</v>
      </c>
      <c r="H13" s="495" t="s">
        <v>340</v>
      </c>
      <c r="I13" s="352" t="s">
        <v>341</v>
      </c>
      <c r="J13" s="496" t="s">
        <v>342</v>
      </c>
      <c r="K13" s="354">
        <v>5</v>
      </c>
      <c r="L13" s="2427"/>
      <c r="M13" s="2414"/>
      <c r="N13" s="2303"/>
      <c r="O13" s="355">
        <v>0.14399239840229908</v>
      </c>
      <c r="P13" s="3135"/>
      <c r="Q13" s="2267"/>
      <c r="R13" s="2208"/>
      <c r="S13" s="353" t="s">
        <v>343</v>
      </c>
      <c r="T13" s="1968">
        <v>129577524.97</v>
      </c>
      <c r="U13" s="347">
        <v>88</v>
      </c>
      <c r="V13" s="1651" t="s">
        <v>339</v>
      </c>
      <c r="W13" s="3175"/>
      <c r="X13" s="3148"/>
      <c r="Y13" s="3148"/>
      <c r="Z13" s="3148"/>
      <c r="AA13" s="3148"/>
      <c r="AB13" s="3148"/>
      <c r="AC13" s="3148"/>
      <c r="AD13" s="3148"/>
      <c r="AE13" s="3148"/>
      <c r="AF13" s="3148"/>
      <c r="AG13" s="3148"/>
      <c r="AH13" s="3148"/>
      <c r="AI13" s="3148"/>
      <c r="AJ13" s="3148"/>
      <c r="AK13" s="3148"/>
      <c r="AL13" s="3148"/>
      <c r="AM13" s="3140"/>
      <c r="AN13" s="3140"/>
      <c r="AO13" s="3016"/>
      <c r="AP13" s="3"/>
      <c r="AQ13" s="3"/>
      <c r="AR13" s="3"/>
      <c r="AS13" s="3"/>
      <c r="AT13" s="3"/>
      <c r="AU13" s="3"/>
    </row>
    <row r="14" spans="1:49" s="485" customFormat="1" ht="30" customHeight="1" x14ac:dyDescent="0.25">
      <c r="A14" s="398"/>
      <c r="B14" s="493"/>
      <c r="C14" s="493"/>
      <c r="D14" s="398"/>
      <c r="E14" s="493"/>
      <c r="F14" s="407"/>
      <c r="G14" s="3141">
        <v>1702017</v>
      </c>
      <c r="H14" s="3089" t="s">
        <v>344</v>
      </c>
      <c r="I14" s="2303" t="s">
        <v>345</v>
      </c>
      <c r="J14" s="2320" t="s">
        <v>346</v>
      </c>
      <c r="K14" s="3143">
        <v>250</v>
      </c>
      <c r="L14" s="2323" t="s">
        <v>347</v>
      </c>
      <c r="M14" s="2771" t="s">
        <v>348</v>
      </c>
      <c r="N14" s="3133" t="s">
        <v>349</v>
      </c>
      <c r="O14" s="3127">
        <v>1</v>
      </c>
      <c r="P14" s="3135">
        <v>110000000</v>
      </c>
      <c r="Q14" s="2208" t="s">
        <v>350</v>
      </c>
      <c r="R14" s="2267" t="s">
        <v>351</v>
      </c>
      <c r="S14" s="2303" t="s">
        <v>352</v>
      </c>
      <c r="T14" s="1967">
        <v>533334</v>
      </c>
      <c r="U14" s="1696">
        <v>20</v>
      </c>
      <c r="V14" s="1651" t="s">
        <v>70</v>
      </c>
      <c r="W14" s="3129">
        <v>2608</v>
      </c>
      <c r="X14" s="3129">
        <v>2992</v>
      </c>
      <c r="Y14" s="3129">
        <v>1100</v>
      </c>
      <c r="Z14" s="2227">
        <v>465</v>
      </c>
      <c r="AA14" s="2227">
        <v>3441</v>
      </c>
      <c r="AB14" s="2227">
        <v>594</v>
      </c>
      <c r="AC14" s="2227">
        <v>40</v>
      </c>
      <c r="AD14" s="2227">
        <v>50</v>
      </c>
      <c r="AE14" s="2227">
        <v>0</v>
      </c>
      <c r="AF14" s="2227">
        <v>0</v>
      </c>
      <c r="AG14" s="2227">
        <v>0</v>
      </c>
      <c r="AH14" s="2227">
        <v>0</v>
      </c>
      <c r="AI14" s="2227">
        <v>80</v>
      </c>
      <c r="AJ14" s="2227">
        <v>10</v>
      </c>
      <c r="AK14" s="2227">
        <v>0</v>
      </c>
      <c r="AL14" s="2227">
        <v>5600</v>
      </c>
      <c r="AM14" s="3105">
        <v>43832</v>
      </c>
      <c r="AN14" s="3105">
        <v>44195</v>
      </c>
      <c r="AO14" s="3008" t="s">
        <v>337</v>
      </c>
      <c r="AP14" s="4"/>
      <c r="AQ14" s="4"/>
      <c r="AR14" s="4"/>
      <c r="AS14" s="4"/>
      <c r="AT14" s="4"/>
      <c r="AU14" s="4"/>
    </row>
    <row r="15" spans="1:49" s="485" customFormat="1" ht="60" x14ac:dyDescent="0.25">
      <c r="A15" s="398"/>
      <c r="B15" s="493"/>
      <c r="C15" s="493"/>
      <c r="D15" s="398"/>
      <c r="E15" s="493"/>
      <c r="F15" s="407"/>
      <c r="G15" s="3141"/>
      <c r="H15" s="3089"/>
      <c r="I15" s="2303"/>
      <c r="J15" s="2247"/>
      <c r="K15" s="3144"/>
      <c r="L15" s="2323"/>
      <c r="M15" s="2771"/>
      <c r="N15" s="3133"/>
      <c r="O15" s="3127"/>
      <c r="P15" s="3135"/>
      <c r="Q15" s="2208"/>
      <c r="R15" s="2267"/>
      <c r="S15" s="2303"/>
      <c r="T15" s="1967">
        <v>8000000</v>
      </c>
      <c r="U15" s="347">
        <v>88</v>
      </c>
      <c r="V15" s="1651" t="s">
        <v>339</v>
      </c>
      <c r="W15" s="3129"/>
      <c r="X15" s="3129"/>
      <c r="Y15" s="3129"/>
      <c r="Z15" s="2227"/>
      <c r="AA15" s="2227"/>
      <c r="AB15" s="2227"/>
      <c r="AC15" s="2227"/>
      <c r="AD15" s="2227"/>
      <c r="AE15" s="2227"/>
      <c r="AF15" s="2227"/>
      <c r="AG15" s="2227"/>
      <c r="AH15" s="2227"/>
      <c r="AI15" s="2227"/>
      <c r="AJ15" s="2227"/>
      <c r="AK15" s="2227"/>
      <c r="AL15" s="2227"/>
      <c r="AM15" s="3105"/>
      <c r="AN15" s="3105"/>
      <c r="AO15" s="3106"/>
      <c r="AP15" s="4"/>
      <c r="AQ15" s="4"/>
      <c r="AR15" s="4"/>
      <c r="AS15" s="4"/>
      <c r="AT15" s="4"/>
      <c r="AU15" s="4"/>
    </row>
    <row r="16" spans="1:49" s="485" customFormat="1" ht="106.5" customHeight="1" x14ac:dyDescent="0.25">
      <c r="A16" s="398"/>
      <c r="B16" s="493"/>
      <c r="C16" s="493"/>
      <c r="D16" s="398"/>
      <c r="E16" s="493"/>
      <c r="F16" s="407"/>
      <c r="G16" s="3141"/>
      <c r="H16" s="3089"/>
      <c r="I16" s="2303"/>
      <c r="J16" s="2247"/>
      <c r="K16" s="3144"/>
      <c r="L16" s="2323"/>
      <c r="M16" s="2771"/>
      <c r="N16" s="3133"/>
      <c r="O16" s="3127"/>
      <c r="P16" s="3135"/>
      <c r="Q16" s="2208"/>
      <c r="R16" s="2267"/>
      <c r="S16" s="497" t="s">
        <v>353</v>
      </c>
      <c r="T16" s="1967">
        <v>51466666</v>
      </c>
      <c r="U16" s="1696">
        <v>20</v>
      </c>
      <c r="V16" s="1651" t="s">
        <v>70</v>
      </c>
      <c r="W16" s="3129"/>
      <c r="X16" s="3129"/>
      <c r="Y16" s="3129"/>
      <c r="Z16" s="2227"/>
      <c r="AA16" s="2227"/>
      <c r="AB16" s="2227"/>
      <c r="AC16" s="2227"/>
      <c r="AD16" s="2227"/>
      <c r="AE16" s="2227"/>
      <c r="AF16" s="2227"/>
      <c r="AG16" s="2227"/>
      <c r="AH16" s="2227"/>
      <c r="AI16" s="2227"/>
      <c r="AJ16" s="2227"/>
      <c r="AK16" s="2227"/>
      <c r="AL16" s="2227"/>
      <c r="AM16" s="3105"/>
      <c r="AN16" s="3105"/>
      <c r="AO16" s="3106"/>
    </row>
    <row r="17" spans="1:41" s="485" customFormat="1" ht="60" x14ac:dyDescent="0.25">
      <c r="A17" s="398"/>
      <c r="B17" s="493"/>
      <c r="C17" s="493"/>
      <c r="D17" s="398"/>
      <c r="E17" s="493"/>
      <c r="F17" s="407"/>
      <c r="G17" s="3141"/>
      <c r="H17" s="3089"/>
      <c r="I17" s="2303"/>
      <c r="J17" s="2247"/>
      <c r="K17" s="3144"/>
      <c r="L17" s="2323"/>
      <c r="M17" s="2771"/>
      <c r="N17" s="3133"/>
      <c r="O17" s="3127"/>
      <c r="P17" s="3135"/>
      <c r="Q17" s="2208"/>
      <c r="R17" s="3137"/>
      <c r="S17" s="2303" t="s">
        <v>338</v>
      </c>
      <c r="T17" s="1969">
        <v>30000000</v>
      </c>
      <c r="U17" s="347">
        <v>88</v>
      </c>
      <c r="V17" s="1651" t="s">
        <v>339</v>
      </c>
      <c r="W17" s="3129"/>
      <c r="X17" s="3129"/>
      <c r="Y17" s="3129"/>
      <c r="Z17" s="2227"/>
      <c r="AA17" s="2227"/>
      <c r="AB17" s="2227"/>
      <c r="AC17" s="2227"/>
      <c r="AD17" s="2227"/>
      <c r="AE17" s="2227"/>
      <c r="AF17" s="2227"/>
      <c r="AG17" s="2227"/>
      <c r="AH17" s="2227"/>
      <c r="AI17" s="2227"/>
      <c r="AJ17" s="2227"/>
      <c r="AK17" s="2227"/>
      <c r="AL17" s="2227"/>
      <c r="AM17" s="3105"/>
      <c r="AN17" s="3105"/>
      <c r="AO17" s="3106"/>
    </row>
    <row r="18" spans="1:41" s="485" customFormat="1" ht="71.25" customHeight="1" x14ac:dyDescent="0.25">
      <c r="A18" s="398"/>
      <c r="B18" s="493"/>
      <c r="C18" s="493"/>
      <c r="D18" s="398"/>
      <c r="E18" s="493"/>
      <c r="F18" s="407"/>
      <c r="G18" s="3142"/>
      <c r="H18" s="3125"/>
      <c r="I18" s="2723"/>
      <c r="J18" s="2321"/>
      <c r="K18" s="3145"/>
      <c r="L18" s="2352"/>
      <c r="M18" s="3146"/>
      <c r="N18" s="3134"/>
      <c r="O18" s="3128"/>
      <c r="P18" s="3136"/>
      <c r="Q18" s="2322"/>
      <c r="R18" s="3138"/>
      <c r="S18" s="2723"/>
      <c r="T18" s="1970">
        <v>20000000</v>
      </c>
      <c r="U18" s="1696">
        <v>20</v>
      </c>
      <c r="V18" s="1651" t="s">
        <v>70</v>
      </c>
      <c r="W18" s="2344"/>
      <c r="X18" s="2344"/>
      <c r="Y18" s="2344"/>
      <c r="Z18" s="2224"/>
      <c r="AA18" s="2224"/>
      <c r="AB18" s="2224"/>
      <c r="AC18" s="2224"/>
      <c r="AD18" s="2224"/>
      <c r="AE18" s="2224"/>
      <c r="AF18" s="2224"/>
      <c r="AG18" s="2224"/>
      <c r="AH18" s="2224"/>
      <c r="AI18" s="2224"/>
      <c r="AJ18" s="2224"/>
      <c r="AK18" s="2224"/>
      <c r="AL18" s="2224"/>
      <c r="AM18" s="3012"/>
      <c r="AN18" s="3012"/>
      <c r="AO18" s="3081"/>
    </row>
    <row r="19" spans="1:41" s="485" customFormat="1" ht="66" customHeight="1" x14ac:dyDescent="0.25">
      <c r="A19" s="398"/>
      <c r="B19" s="493"/>
      <c r="C19" s="493"/>
      <c r="D19" s="398"/>
      <c r="E19" s="493"/>
      <c r="F19" s="407"/>
      <c r="G19" s="3132">
        <v>1702038</v>
      </c>
      <c r="H19" s="3089" t="s">
        <v>354</v>
      </c>
      <c r="I19" s="2303" t="s">
        <v>355</v>
      </c>
      <c r="J19" s="2772" t="s">
        <v>356</v>
      </c>
      <c r="K19" s="2344">
        <v>30</v>
      </c>
      <c r="L19" s="2323" t="s">
        <v>357</v>
      </c>
      <c r="M19" s="2668" t="s">
        <v>358</v>
      </c>
      <c r="N19" s="2303" t="s">
        <v>359</v>
      </c>
      <c r="O19" s="3127">
        <f>+(T19+T20+T21)/(114200000)</f>
        <v>0.18739054290718038</v>
      </c>
      <c r="P19" s="3130">
        <v>61400000</v>
      </c>
      <c r="Q19" s="2267" t="s">
        <v>360</v>
      </c>
      <c r="R19" s="2267" t="s">
        <v>361</v>
      </c>
      <c r="S19" s="353" t="s">
        <v>362</v>
      </c>
      <c r="T19" s="1967">
        <v>6400000</v>
      </c>
      <c r="U19" s="492">
        <v>88</v>
      </c>
      <c r="V19" s="1651" t="s">
        <v>339</v>
      </c>
      <c r="W19" s="3129">
        <v>100</v>
      </c>
      <c r="X19" s="3129">
        <v>60</v>
      </c>
      <c r="Y19" s="3129">
        <v>0</v>
      </c>
      <c r="Z19" s="2227">
        <v>0</v>
      </c>
      <c r="AA19" s="2227">
        <v>110</v>
      </c>
      <c r="AB19" s="2227">
        <v>50</v>
      </c>
      <c r="AC19" s="2227">
        <v>0</v>
      </c>
      <c r="AD19" s="2227">
        <v>0</v>
      </c>
      <c r="AE19" s="2227">
        <v>0</v>
      </c>
      <c r="AF19" s="2227">
        <v>0</v>
      </c>
      <c r="AG19" s="2227">
        <v>0</v>
      </c>
      <c r="AH19" s="2227">
        <v>0</v>
      </c>
      <c r="AI19" s="2227">
        <v>0</v>
      </c>
      <c r="AJ19" s="2227">
        <v>0</v>
      </c>
      <c r="AK19" s="2227">
        <v>0</v>
      </c>
      <c r="AL19" s="2227">
        <v>160</v>
      </c>
      <c r="AM19" s="3105">
        <v>43832</v>
      </c>
      <c r="AN19" s="3105">
        <v>44195</v>
      </c>
      <c r="AO19" s="3106" t="s">
        <v>337</v>
      </c>
    </row>
    <row r="20" spans="1:41" s="485" customFormat="1" ht="66" customHeight="1" x14ac:dyDescent="0.25">
      <c r="A20" s="398"/>
      <c r="B20" s="493"/>
      <c r="C20" s="493"/>
      <c r="D20" s="398"/>
      <c r="E20" s="493"/>
      <c r="F20" s="407"/>
      <c r="G20" s="3132"/>
      <c r="H20" s="3089"/>
      <c r="I20" s="2303"/>
      <c r="J20" s="2772"/>
      <c r="K20" s="2351"/>
      <c r="L20" s="2323"/>
      <c r="M20" s="2668"/>
      <c r="N20" s="2303"/>
      <c r="O20" s="3127"/>
      <c r="P20" s="3130"/>
      <c r="Q20" s="2267"/>
      <c r="R20" s="2267"/>
      <c r="S20" s="353" t="s">
        <v>364</v>
      </c>
      <c r="T20" s="1967">
        <v>5000000</v>
      </c>
      <c r="U20" s="1696">
        <v>20</v>
      </c>
      <c r="V20" s="1651" t="s">
        <v>70</v>
      </c>
      <c r="W20" s="3129"/>
      <c r="X20" s="3129"/>
      <c r="Y20" s="3129"/>
      <c r="Z20" s="2227"/>
      <c r="AA20" s="2227"/>
      <c r="AB20" s="2227"/>
      <c r="AC20" s="2227"/>
      <c r="AD20" s="2227"/>
      <c r="AE20" s="2227"/>
      <c r="AF20" s="2227"/>
      <c r="AG20" s="2227"/>
      <c r="AH20" s="2227"/>
      <c r="AI20" s="2227"/>
      <c r="AJ20" s="2227"/>
      <c r="AK20" s="2227"/>
      <c r="AL20" s="2227"/>
      <c r="AM20" s="3105"/>
      <c r="AN20" s="3105"/>
      <c r="AO20" s="3106"/>
    </row>
    <row r="21" spans="1:41" s="485" customFormat="1" ht="66" customHeight="1" x14ac:dyDescent="0.25">
      <c r="A21" s="398"/>
      <c r="B21" s="493"/>
      <c r="C21" s="493"/>
      <c r="D21" s="398"/>
      <c r="E21" s="493"/>
      <c r="F21" s="407"/>
      <c r="G21" s="3132"/>
      <c r="H21" s="3089"/>
      <c r="I21" s="2303"/>
      <c r="J21" s="2772"/>
      <c r="K21" s="2345"/>
      <c r="L21" s="2323"/>
      <c r="M21" s="2668"/>
      <c r="N21" s="2303"/>
      <c r="O21" s="3127"/>
      <c r="P21" s="3130"/>
      <c r="Q21" s="2267"/>
      <c r="R21" s="2267"/>
      <c r="S21" s="353" t="s">
        <v>366</v>
      </c>
      <c r="T21" s="1967">
        <v>10000000</v>
      </c>
      <c r="U21" s="492">
        <v>88</v>
      </c>
      <c r="V21" s="1651" t="s">
        <v>339</v>
      </c>
      <c r="W21" s="3129"/>
      <c r="X21" s="3129"/>
      <c r="Y21" s="3129"/>
      <c r="Z21" s="2227"/>
      <c r="AA21" s="2227"/>
      <c r="AB21" s="2227"/>
      <c r="AC21" s="2227"/>
      <c r="AD21" s="2227"/>
      <c r="AE21" s="2227"/>
      <c r="AF21" s="2227"/>
      <c r="AG21" s="2227"/>
      <c r="AH21" s="2227"/>
      <c r="AI21" s="2227"/>
      <c r="AJ21" s="2227"/>
      <c r="AK21" s="2227"/>
      <c r="AL21" s="2227"/>
      <c r="AM21" s="3105"/>
      <c r="AN21" s="3105"/>
      <c r="AO21" s="3106"/>
    </row>
    <row r="22" spans="1:41" s="485" customFormat="1" ht="66" customHeight="1" x14ac:dyDescent="0.25">
      <c r="A22" s="398"/>
      <c r="B22" s="493"/>
      <c r="C22" s="493"/>
      <c r="D22" s="398"/>
      <c r="E22" s="493"/>
      <c r="F22" s="407"/>
      <c r="G22" s="3132"/>
      <c r="H22" s="3089" t="s">
        <v>354</v>
      </c>
      <c r="I22" s="2303"/>
      <c r="J22" s="2772" t="s">
        <v>367</v>
      </c>
      <c r="K22" s="2344">
        <v>60</v>
      </c>
      <c r="L22" s="2323"/>
      <c r="M22" s="2668"/>
      <c r="N22" s="2303"/>
      <c r="O22" s="3127">
        <f>+(T22+T23+T24)/(114200000)</f>
        <v>0.35026269702276708</v>
      </c>
      <c r="P22" s="3130"/>
      <c r="Q22" s="2267"/>
      <c r="R22" s="2267"/>
      <c r="S22" s="353" t="s">
        <v>368</v>
      </c>
      <c r="T22" s="1967">
        <v>9300000</v>
      </c>
      <c r="U22" s="492">
        <v>88</v>
      </c>
      <c r="V22" s="1651" t="s">
        <v>339</v>
      </c>
      <c r="W22" s="3129"/>
      <c r="X22" s="3129"/>
      <c r="Y22" s="3129"/>
      <c r="Z22" s="2227"/>
      <c r="AA22" s="2227"/>
      <c r="AB22" s="2227"/>
      <c r="AC22" s="2227"/>
      <c r="AD22" s="2227"/>
      <c r="AE22" s="2227"/>
      <c r="AF22" s="2227"/>
      <c r="AG22" s="2227"/>
      <c r="AH22" s="2227"/>
      <c r="AI22" s="2227"/>
      <c r="AJ22" s="2227"/>
      <c r="AK22" s="2227"/>
      <c r="AL22" s="2227"/>
      <c r="AM22" s="3105"/>
      <c r="AN22" s="3105"/>
      <c r="AO22" s="3106"/>
    </row>
    <row r="23" spans="1:41" s="485" customFormat="1" ht="66" customHeight="1" x14ac:dyDescent="0.25">
      <c r="A23" s="398"/>
      <c r="B23" s="493"/>
      <c r="C23" s="493"/>
      <c r="D23" s="398"/>
      <c r="E23" s="493"/>
      <c r="F23" s="407"/>
      <c r="G23" s="3132"/>
      <c r="H23" s="3089"/>
      <c r="I23" s="2303"/>
      <c r="J23" s="2772"/>
      <c r="K23" s="2351"/>
      <c r="L23" s="2323"/>
      <c r="M23" s="2668"/>
      <c r="N23" s="2303"/>
      <c r="O23" s="3127"/>
      <c r="P23" s="3130"/>
      <c r="Q23" s="2267"/>
      <c r="R23" s="2267"/>
      <c r="S23" s="353" t="s">
        <v>364</v>
      </c>
      <c r="T23" s="1967">
        <v>21400000</v>
      </c>
      <c r="U23" s="1696">
        <v>20</v>
      </c>
      <c r="V23" s="1651" t="s">
        <v>70</v>
      </c>
      <c r="W23" s="3129"/>
      <c r="X23" s="3129"/>
      <c r="Y23" s="3129"/>
      <c r="Z23" s="2227"/>
      <c r="AA23" s="2227"/>
      <c r="AB23" s="2227"/>
      <c r="AC23" s="2227"/>
      <c r="AD23" s="2227"/>
      <c r="AE23" s="2227"/>
      <c r="AF23" s="2227"/>
      <c r="AG23" s="2227"/>
      <c r="AH23" s="2227"/>
      <c r="AI23" s="2227"/>
      <c r="AJ23" s="2227"/>
      <c r="AK23" s="2227"/>
      <c r="AL23" s="2227"/>
      <c r="AM23" s="3105"/>
      <c r="AN23" s="3105"/>
      <c r="AO23" s="3106"/>
    </row>
    <row r="24" spans="1:41" s="485" customFormat="1" ht="66" customHeight="1" x14ac:dyDescent="0.25">
      <c r="A24" s="398"/>
      <c r="B24" s="493"/>
      <c r="C24" s="493"/>
      <c r="D24" s="398"/>
      <c r="E24" s="493"/>
      <c r="F24" s="407"/>
      <c r="G24" s="3132"/>
      <c r="H24" s="3125"/>
      <c r="I24" s="2723"/>
      <c r="J24" s="2871"/>
      <c r="K24" s="3126"/>
      <c r="L24" s="2352"/>
      <c r="M24" s="2735"/>
      <c r="N24" s="2723"/>
      <c r="O24" s="3128"/>
      <c r="P24" s="3131"/>
      <c r="Q24" s="2267"/>
      <c r="R24" s="2267"/>
      <c r="S24" s="353" t="s">
        <v>369</v>
      </c>
      <c r="T24" s="1967">
        <v>9300000</v>
      </c>
      <c r="U24" s="498">
        <v>88</v>
      </c>
      <c r="V24" s="1651" t="s">
        <v>339</v>
      </c>
      <c r="W24" s="3129"/>
      <c r="X24" s="3129"/>
      <c r="Y24" s="3129"/>
      <c r="Z24" s="2227"/>
      <c r="AA24" s="2227"/>
      <c r="AB24" s="2227"/>
      <c r="AC24" s="2227"/>
      <c r="AD24" s="2227"/>
      <c r="AE24" s="2227"/>
      <c r="AF24" s="2227"/>
      <c r="AG24" s="2227"/>
      <c r="AH24" s="2227"/>
      <c r="AI24" s="2227"/>
      <c r="AJ24" s="2227"/>
      <c r="AK24" s="2227"/>
      <c r="AL24" s="2227"/>
      <c r="AM24" s="3105"/>
      <c r="AN24" s="3105"/>
      <c r="AO24" s="3106"/>
    </row>
    <row r="25" spans="1:41" s="485" customFormat="1" ht="95.25" customHeight="1" x14ac:dyDescent="0.25">
      <c r="A25" s="398"/>
      <c r="B25" s="493"/>
      <c r="C25" s="493"/>
      <c r="D25" s="398"/>
      <c r="E25" s="493"/>
      <c r="F25" s="407"/>
      <c r="G25" s="499">
        <v>1702023</v>
      </c>
      <c r="H25" s="500" t="s">
        <v>370</v>
      </c>
      <c r="I25" s="501" t="s">
        <v>371</v>
      </c>
      <c r="J25" s="357" t="s">
        <v>372</v>
      </c>
      <c r="K25" s="335">
        <v>1</v>
      </c>
      <c r="L25" s="2263" t="s">
        <v>373</v>
      </c>
      <c r="M25" s="3101" t="s">
        <v>374</v>
      </c>
      <c r="N25" s="3102" t="s">
        <v>375</v>
      </c>
      <c r="O25" s="502">
        <f>+T25/100000000</f>
        <v>0.15</v>
      </c>
      <c r="P25" s="3124">
        <v>50000000</v>
      </c>
      <c r="Q25" s="3121" t="s">
        <v>376</v>
      </c>
      <c r="R25" s="2269" t="s">
        <v>377</v>
      </c>
      <c r="S25" s="503" t="s">
        <v>378</v>
      </c>
      <c r="T25" s="1971">
        <v>15000000</v>
      </c>
      <c r="U25" s="498">
        <v>88</v>
      </c>
      <c r="V25" s="1651" t="s">
        <v>339</v>
      </c>
      <c r="W25" s="2295">
        <v>65000</v>
      </c>
      <c r="X25" s="2295">
        <v>65000</v>
      </c>
      <c r="Y25" s="2295">
        <v>22000</v>
      </c>
      <c r="Z25" s="2295">
        <v>14000</v>
      </c>
      <c r="AA25" s="2295">
        <v>79000</v>
      </c>
      <c r="AB25" s="2295">
        <v>15000</v>
      </c>
      <c r="AC25" s="2295"/>
      <c r="AD25" s="2295"/>
      <c r="AE25" s="2295"/>
      <c r="AF25" s="2295"/>
      <c r="AG25" s="2295"/>
      <c r="AH25" s="2295"/>
      <c r="AI25" s="2295"/>
      <c r="AJ25" s="2295"/>
      <c r="AK25" s="2295"/>
      <c r="AL25" s="2295">
        <v>130000</v>
      </c>
      <c r="AM25" s="2973">
        <v>44033</v>
      </c>
      <c r="AN25" s="2973">
        <v>44195</v>
      </c>
      <c r="AO25" s="2976" t="s">
        <v>337</v>
      </c>
    </row>
    <row r="26" spans="1:41" s="485" customFormat="1" ht="217.5" customHeight="1" x14ac:dyDescent="0.25">
      <c r="A26" s="398"/>
      <c r="B26" s="493"/>
      <c r="C26" s="493"/>
      <c r="D26" s="398"/>
      <c r="E26" s="493"/>
      <c r="F26" s="407"/>
      <c r="G26" s="504">
        <v>1702024</v>
      </c>
      <c r="H26" s="500" t="s">
        <v>379</v>
      </c>
      <c r="I26" s="501" t="s">
        <v>380</v>
      </c>
      <c r="J26" s="357" t="s">
        <v>381</v>
      </c>
      <c r="K26" s="335">
        <v>12</v>
      </c>
      <c r="L26" s="2263"/>
      <c r="M26" s="3101"/>
      <c r="N26" s="3102"/>
      <c r="O26" s="502">
        <f>+T26/100000000</f>
        <v>0.35</v>
      </c>
      <c r="P26" s="3124"/>
      <c r="Q26" s="3123"/>
      <c r="R26" s="2270"/>
      <c r="S26" s="501" t="s">
        <v>382</v>
      </c>
      <c r="T26" s="1972">
        <v>35000000</v>
      </c>
      <c r="U26" s="498">
        <v>88</v>
      </c>
      <c r="V26" s="1651" t="s">
        <v>339</v>
      </c>
      <c r="W26" s="2296"/>
      <c r="X26" s="2296"/>
      <c r="Y26" s="2296"/>
      <c r="Z26" s="2296"/>
      <c r="AA26" s="2296"/>
      <c r="AB26" s="2296"/>
      <c r="AC26" s="2296"/>
      <c r="AD26" s="2296"/>
      <c r="AE26" s="2296"/>
      <c r="AF26" s="2296"/>
      <c r="AG26" s="2296"/>
      <c r="AH26" s="2296"/>
      <c r="AI26" s="2296"/>
      <c r="AJ26" s="2296"/>
      <c r="AK26" s="2296"/>
      <c r="AL26" s="2296"/>
      <c r="AM26" s="2974"/>
      <c r="AN26" s="2974"/>
      <c r="AO26" s="2977"/>
    </row>
    <row r="27" spans="1:41" s="485" customFormat="1" ht="87" customHeight="1" x14ac:dyDescent="0.25">
      <c r="A27" s="398"/>
      <c r="B27" s="493"/>
      <c r="C27" s="493"/>
      <c r="D27" s="398"/>
      <c r="E27" s="493"/>
      <c r="F27" s="407"/>
      <c r="G27" s="506">
        <v>1702014</v>
      </c>
      <c r="H27" s="507" t="s">
        <v>383</v>
      </c>
      <c r="I27" s="501" t="s">
        <v>384</v>
      </c>
      <c r="J27" s="357" t="s">
        <v>385</v>
      </c>
      <c r="K27" s="335">
        <v>25</v>
      </c>
      <c r="L27" s="2263" t="s">
        <v>386</v>
      </c>
      <c r="M27" s="3101" t="s">
        <v>387</v>
      </c>
      <c r="N27" s="2259" t="s">
        <v>388</v>
      </c>
      <c r="O27" s="502">
        <f>+T27/79000000</f>
        <v>0.12658227848101267</v>
      </c>
      <c r="P27" s="3122">
        <v>39000000</v>
      </c>
      <c r="Q27" s="3120" t="s">
        <v>389</v>
      </c>
      <c r="R27" s="2268" t="s">
        <v>390</v>
      </c>
      <c r="S27" s="501" t="s">
        <v>391</v>
      </c>
      <c r="T27" s="1972">
        <v>10000000</v>
      </c>
      <c r="U27" s="498">
        <v>88</v>
      </c>
      <c r="V27" s="1651" t="s">
        <v>339</v>
      </c>
      <c r="W27" s="3095">
        <v>25000</v>
      </c>
      <c r="X27" s="3095">
        <v>25000</v>
      </c>
      <c r="Y27" s="3095">
        <v>10000</v>
      </c>
      <c r="Z27" s="3095">
        <v>10000</v>
      </c>
      <c r="AA27" s="3095">
        <v>20000</v>
      </c>
      <c r="AB27" s="3095">
        <v>10000</v>
      </c>
      <c r="AC27" s="3095"/>
      <c r="AD27" s="3095"/>
      <c r="AE27" s="3095"/>
      <c r="AF27" s="3095"/>
      <c r="AG27" s="3095"/>
      <c r="AH27" s="3095"/>
      <c r="AI27" s="3095"/>
      <c r="AJ27" s="3095"/>
      <c r="AK27" s="3095"/>
      <c r="AL27" s="3095">
        <v>50000</v>
      </c>
      <c r="AM27" s="3097">
        <v>44033</v>
      </c>
      <c r="AN27" s="3097">
        <v>44195</v>
      </c>
      <c r="AO27" s="3090" t="s">
        <v>337</v>
      </c>
    </row>
    <row r="28" spans="1:41" s="485" customFormat="1" ht="87" customHeight="1" x14ac:dyDescent="0.25">
      <c r="A28" s="398"/>
      <c r="B28" s="493"/>
      <c r="C28" s="493"/>
      <c r="D28" s="398"/>
      <c r="E28" s="493"/>
      <c r="F28" s="407"/>
      <c r="G28" s="506">
        <v>1702017</v>
      </c>
      <c r="H28" s="508" t="s">
        <v>344</v>
      </c>
      <c r="I28" s="501" t="s">
        <v>345</v>
      </c>
      <c r="J28" s="501" t="s">
        <v>346</v>
      </c>
      <c r="K28" s="335">
        <v>250</v>
      </c>
      <c r="L28" s="2263"/>
      <c r="M28" s="3101"/>
      <c r="N28" s="2259"/>
      <c r="O28" s="502">
        <f>+T28/79000000</f>
        <v>0.24050632911392406</v>
      </c>
      <c r="P28" s="3122"/>
      <c r="Q28" s="3121"/>
      <c r="R28" s="2269"/>
      <c r="S28" s="501" t="s">
        <v>352</v>
      </c>
      <c r="T28" s="1972">
        <v>19000000</v>
      </c>
      <c r="U28" s="498">
        <v>88</v>
      </c>
      <c r="V28" s="1651" t="s">
        <v>339</v>
      </c>
      <c r="W28" s="3096"/>
      <c r="X28" s="3096"/>
      <c r="Y28" s="3096"/>
      <c r="Z28" s="3096"/>
      <c r="AA28" s="3096"/>
      <c r="AB28" s="3096"/>
      <c r="AC28" s="3096"/>
      <c r="AD28" s="3096"/>
      <c r="AE28" s="3096"/>
      <c r="AF28" s="3096"/>
      <c r="AG28" s="3096"/>
      <c r="AH28" s="3096"/>
      <c r="AI28" s="3096"/>
      <c r="AJ28" s="3096"/>
      <c r="AK28" s="3096"/>
      <c r="AL28" s="3096"/>
      <c r="AM28" s="3098"/>
      <c r="AN28" s="3098"/>
      <c r="AO28" s="3091"/>
    </row>
    <row r="29" spans="1:41" s="485" customFormat="1" ht="87" customHeight="1" x14ac:dyDescent="0.25">
      <c r="A29" s="398"/>
      <c r="B29" s="493"/>
      <c r="C29" s="493"/>
      <c r="D29" s="398"/>
      <c r="E29" s="493"/>
      <c r="F29" s="407"/>
      <c r="G29" s="506">
        <v>1702021</v>
      </c>
      <c r="H29" s="508" t="s">
        <v>392</v>
      </c>
      <c r="I29" s="501" t="s">
        <v>393</v>
      </c>
      <c r="J29" s="357" t="s">
        <v>394</v>
      </c>
      <c r="K29" s="335">
        <v>50</v>
      </c>
      <c r="L29" s="2263"/>
      <c r="M29" s="3101"/>
      <c r="N29" s="2259"/>
      <c r="O29" s="502">
        <f>+T29/79000000</f>
        <v>0.12658227848101267</v>
      </c>
      <c r="P29" s="3122"/>
      <c r="Q29" s="3123"/>
      <c r="R29" s="2270"/>
      <c r="S29" s="501" t="s">
        <v>395</v>
      </c>
      <c r="T29" s="1972">
        <v>10000000</v>
      </c>
      <c r="U29" s="498">
        <v>88</v>
      </c>
      <c r="V29" s="1651" t="s">
        <v>339</v>
      </c>
      <c r="W29" s="3116"/>
      <c r="X29" s="3116"/>
      <c r="Y29" s="3116"/>
      <c r="Z29" s="3116"/>
      <c r="AA29" s="3116"/>
      <c r="AB29" s="3116"/>
      <c r="AC29" s="3116"/>
      <c r="AD29" s="3116"/>
      <c r="AE29" s="3116"/>
      <c r="AF29" s="3116"/>
      <c r="AG29" s="3116"/>
      <c r="AH29" s="3116"/>
      <c r="AI29" s="3116"/>
      <c r="AJ29" s="3116"/>
      <c r="AK29" s="3116"/>
      <c r="AL29" s="3116"/>
      <c r="AM29" s="3117"/>
      <c r="AN29" s="3117"/>
      <c r="AO29" s="3114"/>
    </row>
    <row r="30" spans="1:41" s="485" customFormat="1" ht="38.25" customHeight="1" x14ac:dyDescent="0.25">
      <c r="A30" s="398"/>
      <c r="B30" s="493"/>
      <c r="C30" s="493"/>
      <c r="D30" s="398"/>
      <c r="E30" s="493"/>
      <c r="F30" s="407"/>
      <c r="G30" s="3067">
        <v>1702025</v>
      </c>
      <c r="H30" s="2993" t="s">
        <v>396</v>
      </c>
      <c r="I30" s="2693" t="s">
        <v>397</v>
      </c>
      <c r="J30" s="2397" t="s">
        <v>398</v>
      </c>
      <c r="K30" s="2196">
        <v>25</v>
      </c>
      <c r="L30" s="2260" t="s">
        <v>399</v>
      </c>
      <c r="M30" s="2601" t="s">
        <v>400</v>
      </c>
      <c r="N30" s="2268" t="s">
        <v>401</v>
      </c>
      <c r="O30" s="2996">
        <f>+(T30+T31)/105000000</f>
        <v>0.2857142857142857</v>
      </c>
      <c r="P30" s="2998">
        <v>30000000</v>
      </c>
      <c r="Q30" s="3120" t="s">
        <v>402</v>
      </c>
      <c r="R30" s="2268" t="s">
        <v>403</v>
      </c>
      <c r="S30" s="2693" t="s">
        <v>404</v>
      </c>
      <c r="T30" s="1973">
        <v>15000000</v>
      </c>
      <c r="U30" s="1696">
        <v>20</v>
      </c>
      <c r="V30" s="1651" t="s">
        <v>70</v>
      </c>
      <c r="W30" s="3118">
        <v>600</v>
      </c>
      <c r="X30" s="3118">
        <v>600</v>
      </c>
      <c r="Y30" s="3118">
        <v>125</v>
      </c>
      <c r="Z30" s="3118">
        <v>75</v>
      </c>
      <c r="AA30" s="3118">
        <v>300</v>
      </c>
      <c r="AB30" s="3118">
        <v>700</v>
      </c>
      <c r="AC30" s="3118"/>
      <c r="AD30" s="3118"/>
      <c r="AE30" s="3118"/>
      <c r="AF30" s="3118"/>
      <c r="AG30" s="3118"/>
      <c r="AH30" s="3118"/>
      <c r="AI30" s="3118"/>
      <c r="AJ30" s="3118"/>
      <c r="AK30" s="3118"/>
      <c r="AL30" s="3118">
        <v>1200</v>
      </c>
      <c r="AM30" s="3050">
        <v>44033</v>
      </c>
      <c r="AN30" s="3050">
        <v>44195</v>
      </c>
      <c r="AO30" s="3053" t="s">
        <v>337</v>
      </c>
    </row>
    <row r="31" spans="1:41" s="485" customFormat="1" ht="117.75" customHeight="1" x14ac:dyDescent="0.25">
      <c r="A31" s="398"/>
      <c r="B31" s="493"/>
      <c r="C31" s="493"/>
      <c r="D31" s="415"/>
      <c r="E31" s="416"/>
      <c r="F31" s="417"/>
      <c r="G31" s="3068"/>
      <c r="H31" s="2995"/>
      <c r="I31" s="2694"/>
      <c r="J31" s="2819"/>
      <c r="K31" s="2811"/>
      <c r="L31" s="2262"/>
      <c r="M31" s="2603"/>
      <c r="N31" s="2270"/>
      <c r="O31" s="2997"/>
      <c r="P31" s="2999"/>
      <c r="Q31" s="3121"/>
      <c r="R31" s="2270"/>
      <c r="S31" s="2694"/>
      <c r="T31" s="1973">
        <v>15000000</v>
      </c>
      <c r="U31" s="498">
        <v>88</v>
      </c>
      <c r="V31" s="1651" t="s">
        <v>339</v>
      </c>
      <c r="W31" s="3119"/>
      <c r="X31" s="3119"/>
      <c r="Y31" s="3119"/>
      <c r="Z31" s="3119"/>
      <c r="AA31" s="3119"/>
      <c r="AB31" s="3119"/>
      <c r="AC31" s="3119"/>
      <c r="AD31" s="3119"/>
      <c r="AE31" s="3119"/>
      <c r="AF31" s="3119"/>
      <c r="AG31" s="3119"/>
      <c r="AH31" s="3119"/>
      <c r="AI31" s="3119"/>
      <c r="AJ31" s="3119"/>
      <c r="AK31" s="3119"/>
      <c r="AL31" s="3119"/>
      <c r="AM31" s="3052"/>
      <c r="AN31" s="3052"/>
      <c r="AO31" s="3055"/>
    </row>
    <row r="32" spans="1:41" s="485" customFormat="1" ht="15.75" x14ac:dyDescent="0.25">
      <c r="A32" s="2978"/>
      <c r="B32" s="2979"/>
      <c r="C32" s="2980"/>
      <c r="D32" s="509">
        <v>5</v>
      </c>
      <c r="E32" s="510" t="s">
        <v>405</v>
      </c>
      <c r="F32" s="511"/>
      <c r="G32" s="512"/>
      <c r="H32" s="512"/>
      <c r="I32" s="513"/>
      <c r="J32" s="513"/>
      <c r="K32" s="512"/>
      <c r="L32" s="513"/>
      <c r="M32" s="512"/>
      <c r="N32" s="513"/>
      <c r="O32" s="514"/>
      <c r="P32" s="1895"/>
      <c r="Q32" s="513"/>
      <c r="R32" s="513"/>
      <c r="S32" s="513"/>
      <c r="T32" s="1974"/>
      <c r="U32" s="516"/>
      <c r="V32" s="513"/>
      <c r="W32" s="516"/>
      <c r="X32" s="516"/>
      <c r="Y32" s="516"/>
      <c r="Z32" s="516"/>
      <c r="AA32" s="516"/>
      <c r="AB32" s="516"/>
      <c r="AC32" s="516"/>
      <c r="AD32" s="516"/>
      <c r="AE32" s="516"/>
      <c r="AF32" s="516"/>
      <c r="AG32" s="516"/>
      <c r="AH32" s="516"/>
      <c r="AI32" s="516"/>
      <c r="AJ32" s="516"/>
      <c r="AK32" s="516"/>
      <c r="AL32" s="516"/>
      <c r="AM32" s="516"/>
      <c r="AN32" s="516"/>
      <c r="AO32" s="516"/>
    </row>
    <row r="33" spans="1:41" s="485" customFormat="1" ht="240" customHeight="1" x14ac:dyDescent="0.25">
      <c r="A33" s="517"/>
      <c r="B33" s="518"/>
      <c r="C33" s="519"/>
      <c r="D33" s="520"/>
      <c r="E33" s="520"/>
      <c r="F33" s="521"/>
      <c r="G33" s="522">
        <v>1703013</v>
      </c>
      <c r="H33" s="522" t="s">
        <v>406</v>
      </c>
      <c r="I33" s="357" t="s">
        <v>407</v>
      </c>
      <c r="J33" s="357" t="s">
        <v>408</v>
      </c>
      <c r="K33" s="137">
        <v>75</v>
      </c>
      <c r="L33" s="1682" t="s">
        <v>386</v>
      </c>
      <c r="M33" s="276" t="s">
        <v>387</v>
      </c>
      <c r="N33" s="356" t="s">
        <v>409</v>
      </c>
      <c r="O33" s="502">
        <f>+T33/79000000</f>
        <v>0.50632911392405067</v>
      </c>
      <c r="P33" s="1896">
        <v>40000000</v>
      </c>
      <c r="Q33" s="348" t="s">
        <v>410</v>
      </c>
      <c r="R33" s="348" t="s">
        <v>390</v>
      </c>
      <c r="S33" s="501" t="s">
        <v>411</v>
      </c>
      <c r="T33" s="1973">
        <v>40000000</v>
      </c>
      <c r="U33" s="523">
        <v>0</v>
      </c>
      <c r="V33" s="524" t="s">
        <v>363</v>
      </c>
      <c r="W33" s="525">
        <v>25000</v>
      </c>
      <c r="X33" s="525">
        <v>25000</v>
      </c>
      <c r="Y33" s="525">
        <v>10000</v>
      </c>
      <c r="Z33" s="525">
        <v>10000</v>
      </c>
      <c r="AA33" s="525">
        <v>20000</v>
      </c>
      <c r="AB33" s="525">
        <v>10000</v>
      </c>
      <c r="AC33" s="525"/>
      <c r="AD33" s="525"/>
      <c r="AE33" s="525"/>
      <c r="AF33" s="525"/>
      <c r="AG33" s="525"/>
      <c r="AH33" s="525"/>
      <c r="AI33" s="525"/>
      <c r="AJ33" s="525"/>
      <c r="AK33" s="525"/>
      <c r="AL33" s="525">
        <v>50000</v>
      </c>
      <c r="AM33" s="526">
        <v>44033</v>
      </c>
      <c r="AN33" s="526">
        <v>44195</v>
      </c>
      <c r="AO33" s="527" t="s">
        <v>337</v>
      </c>
    </row>
    <row r="34" spans="1:41" s="485" customFormat="1" ht="15.75" customHeight="1" x14ac:dyDescent="0.25">
      <c r="A34" s="2978"/>
      <c r="B34" s="2979"/>
      <c r="C34" s="2980"/>
      <c r="D34" s="509">
        <v>6</v>
      </c>
      <c r="E34" s="510" t="s">
        <v>412</v>
      </c>
      <c r="F34" s="510"/>
      <c r="G34" s="510"/>
      <c r="H34" s="510"/>
      <c r="I34" s="510"/>
      <c r="J34" s="510"/>
      <c r="K34" s="510"/>
      <c r="L34" s="1902"/>
      <c r="M34" s="510"/>
      <c r="N34" s="510"/>
      <c r="O34" s="514"/>
      <c r="P34" s="1895"/>
      <c r="Q34" s="513"/>
      <c r="R34" s="513"/>
      <c r="S34" s="513"/>
      <c r="T34" s="1974"/>
      <c r="U34" s="528"/>
      <c r="V34" s="529"/>
      <c r="W34" s="516"/>
      <c r="X34" s="516"/>
      <c r="Y34" s="516"/>
      <c r="Z34" s="516"/>
      <c r="AA34" s="516"/>
      <c r="AB34" s="516"/>
      <c r="AC34" s="516"/>
      <c r="AD34" s="516"/>
      <c r="AE34" s="516"/>
      <c r="AF34" s="516"/>
      <c r="AG34" s="516"/>
      <c r="AH34" s="516"/>
      <c r="AI34" s="516"/>
      <c r="AJ34" s="516"/>
      <c r="AK34" s="516"/>
      <c r="AL34" s="516"/>
      <c r="AM34" s="516"/>
      <c r="AN34" s="516"/>
      <c r="AO34" s="516"/>
    </row>
    <row r="35" spans="1:41" s="485" customFormat="1" ht="60" x14ac:dyDescent="0.25">
      <c r="A35" s="398"/>
      <c r="B35" s="493"/>
      <c r="C35" s="407"/>
      <c r="D35" s="401"/>
      <c r="E35" s="401"/>
      <c r="F35" s="402"/>
      <c r="G35" s="506">
        <v>1704002</v>
      </c>
      <c r="H35" s="522" t="s">
        <v>413</v>
      </c>
      <c r="I35" s="501" t="s">
        <v>414</v>
      </c>
      <c r="J35" s="357" t="s">
        <v>415</v>
      </c>
      <c r="K35" s="335">
        <v>1</v>
      </c>
      <c r="L35" s="2260" t="s">
        <v>416</v>
      </c>
      <c r="M35" s="2852" t="s">
        <v>417</v>
      </c>
      <c r="N35" s="2745" t="s">
        <v>418</v>
      </c>
      <c r="O35" s="502">
        <f>+T35/P35</f>
        <v>0.24087877499999999</v>
      </c>
      <c r="P35" s="3103">
        <v>40000000</v>
      </c>
      <c r="Q35" s="2268" t="s">
        <v>419</v>
      </c>
      <c r="R35" s="2268" t="s">
        <v>420</v>
      </c>
      <c r="S35" s="501" t="s">
        <v>421</v>
      </c>
      <c r="T35" s="1972">
        <v>9635151</v>
      </c>
      <c r="U35" s="351">
        <v>88</v>
      </c>
      <c r="V35" s="1651" t="s">
        <v>339</v>
      </c>
      <c r="W35" s="3095">
        <v>285580</v>
      </c>
      <c r="X35" s="3095">
        <v>285580</v>
      </c>
      <c r="Y35" s="3095">
        <v>135545</v>
      </c>
      <c r="Z35" s="3095">
        <v>44254</v>
      </c>
      <c r="AA35" s="3095">
        <v>309146</v>
      </c>
      <c r="AB35" s="3095">
        <v>92607</v>
      </c>
      <c r="AC35" s="3095"/>
      <c r="AD35" s="3095"/>
      <c r="AE35" s="3095"/>
      <c r="AF35" s="3095"/>
      <c r="AG35" s="3095"/>
      <c r="AH35" s="3095"/>
      <c r="AI35" s="3095"/>
      <c r="AJ35" s="3095"/>
      <c r="AK35" s="3095"/>
      <c r="AL35" s="3095">
        <v>581552</v>
      </c>
      <c r="AM35" s="3097">
        <v>44033</v>
      </c>
      <c r="AN35" s="3097">
        <v>44195</v>
      </c>
      <c r="AO35" s="3090" t="s">
        <v>337</v>
      </c>
    </row>
    <row r="36" spans="1:41" s="485" customFormat="1" ht="60" x14ac:dyDescent="0.25">
      <c r="A36" s="398"/>
      <c r="B36" s="493"/>
      <c r="C36" s="407"/>
      <c r="D36" s="416"/>
      <c r="E36" s="416"/>
      <c r="F36" s="417"/>
      <c r="G36" s="506">
        <v>1704017</v>
      </c>
      <c r="H36" s="522" t="s">
        <v>422</v>
      </c>
      <c r="I36" s="501" t="s">
        <v>423</v>
      </c>
      <c r="J36" s="357" t="s">
        <v>424</v>
      </c>
      <c r="K36" s="335">
        <v>50</v>
      </c>
      <c r="L36" s="2262"/>
      <c r="M36" s="2852"/>
      <c r="N36" s="2745"/>
      <c r="O36" s="530">
        <f>+T36/P35</f>
        <v>0.75912122500000001</v>
      </c>
      <c r="P36" s="3103"/>
      <c r="Q36" s="2270"/>
      <c r="R36" s="2270"/>
      <c r="S36" s="501" t="s">
        <v>425</v>
      </c>
      <c r="T36" s="1972">
        <v>30364849</v>
      </c>
      <c r="U36" s="351">
        <v>88</v>
      </c>
      <c r="V36" s="1651" t="s">
        <v>339</v>
      </c>
      <c r="W36" s="3116"/>
      <c r="X36" s="3116"/>
      <c r="Y36" s="3116"/>
      <c r="Z36" s="3116"/>
      <c r="AA36" s="3116"/>
      <c r="AB36" s="3116"/>
      <c r="AC36" s="3116"/>
      <c r="AD36" s="3116"/>
      <c r="AE36" s="3116"/>
      <c r="AF36" s="3116"/>
      <c r="AG36" s="3116"/>
      <c r="AH36" s="3116"/>
      <c r="AI36" s="3116"/>
      <c r="AJ36" s="3116"/>
      <c r="AK36" s="3116"/>
      <c r="AL36" s="3116"/>
      <c r="AM36" s="3117"/>
      <c r="AN36" s="3117"/>
      <c r="AO36" s="3114"/>
    </row>
    <row r="37" spans="1:41" s="485" customFormat="1" ht="15.75" x14ac:dyDescent="0.25">
      <c r="A37" s="2978"/>
      <c r="B37" s="2979"/>
      <c r="C37" s="2980"/>
      <c r="D37" s="509">
        <v>7</v>
      </c>
      <c r="E37" s="510" t="s">
        <v>426</v>
      </c>
      <c r="F37" s="511"/>
      <c r="G37" s="512"/>
      <c r="H37" s="512"/>
      <c r="I37" s="513"/>
      <c r="J37" s="513"/>
      <c r="K37" s="512"/>
      <c r="L37" s="68"/>
      <c r="M37" s="512"/>
      <c r="N37" s="513"/>
      <c r="O37" s="514"/>
      <c r="P37" s="1895"/>
      <c r="Q37" s="513"/>
      <c r="R37" s="513"/>
      <c r="S37" s="513"/>
      <c r="T37" s="1974"/>
      <c r="U37" s="531"/>
      <c r="V37" s="71"/>
      <c r="W37" s="516"/>
      <c r="X37" s="516"/>
      <c r="Y37" s="516"/>
      <c r="Z37" s="516"/>
      <c r="AA37" s="516"/>
      <c r="AB37" s="516"/>
      <c r="AC37" s="516"/>
      <c r="AD37" s="516"/>
      <c r="AE37" s="516"/>
      <c r="AF37" s="516"/>
      <c r="AG37" s="516"/>
      <c r="AH37" s="516"/>
      <c r="AI37" s="516"/>
      <c r="AJ37" s="516"/>
      <c r="AK37" s="516"/>
      <c r="AL37" s="516"/>
      <c r="AM37" s="516"/>
      <c r="AN37" s="516"/>
      <c r="AO37" s="516"/>
    </row>
    <row r="38" spans="1:41" s="485" customFormat="1" ht="48.75" customHeight="1" x14ac:dyDescent="0.25">
      <c r="A38" s="532"/>
      <c r="B38" s="533"/>
      <c r="C38" s="534"/>
      <c r="D38" s="2231"/>
      <c r="E38" s="2231"/>
      <c r="F38" s="2232"/>
      <c r="G38" s="3004">
        <v>1706004</v>
      </c>
      <c r="H38" s="3004" t="s">
        <v>427</v>
      </c>
      <c r="I38" s="2693" t="s">
        <v>428</v>
      </c>
      <c r="J38" s="2285" t="s">
        <v>429</v>
      </c>
      <c r="K38" s="2849">
        <v>10</v>
      </c>
      <c r="L38" s="2260" t="s">
        <v>357</v>
      </c>
      <c r="M38" s="2190" t="s">
        <v>358</v>
      </c>
      <c r="N38" s="2693" t="s">
        <v>359</v>
      </c>
      <c r="O38" s="2533">
        <f>+(T38+T39+T40)/(114200000)</f>
        <v>0.11208406304728546</v>
      </c>
      <c r="P38" s="3073">
        <v>12800000</v>
      </c>
      <c r="Q38" s="2268" t="s">
        <v>360</v>
      </c>
      <c r="R38" s="2268" t="s">
        <v>361</v>
      </c>
      <c r="S38" s="350" t="s">
        <v>364</v>
      </c>
      <c r="T38" s="1973">
        <v>5000000</v>
      </c>
      <c r="U38" s="1696">
        <v>20</v>
      </c>
      <c r="V38" s="1651" t="s">
        <v>70</v>
      </c>
      <c r="W38" s="2214">
        <v>100</v>
      </c>
      <c r="X38" s="2214">
        <v>60</v>
      </c>
      <c r="Y38" s="2214">
        <v>0</v>
      </c>
      <c r="Z38" s="2214">
        <v>0</v>
      </c>
      <c r="AA38" s="2214">
        <v>110</v>
      </c>
      <c r="AB38" s="2214">
        <v>50</v>
      </c>
      <c r="AC38" s="2214">
        <v>0</v>
      </c>
      <c r="AD38" s="2214">
        <v>0</v>
      </c>
      <c r="AE38" s="2214">
        <v>0</v>
      </c>
      <c r="AF38" s="2214">
        <v>0</v>
      </c>
      <c r="AG38" s="2214">
        <v>0</v>
      </c>
      <c r="AH38" s="2214">
        <v>0</v>
      </c>
      <c r="AI38" s="2214">
        <v>0</v>
      </c>
      <c r="AJ38" s="2214">
        <v>0</v>
      </c>
      <c r="AK38" s="2214">
        <v>0</v>
      </c>
      <c r="AL38" s="2214">
        <v>160</v>
      </c>
      <c r="AM38" s="2972">
        <v>43832</v>
      </c>
      <c r="AN38" s="2972">
        <v>44195</v>
      </c>
      <c r="AO38" s="2975" t="s">
        <v>337</v>
      </c>
    </row>
    <row r="39" spans="1:41" s="485" customFormat="1" ht="30.75" customHeight="1" x14ac:dyDescent="0.25">
      <c r="A39" s="532"/>
      <c r="B39" s="533"/>
      <c r="C39" s="534"/>
      <c r="D39" s="2231"/>
      <c r="E39" s="2231"/>
      <c r="F39" s="2232"/>
      <c r="G39" s="3110"/>
      <c r="H39" s="3110"/>
      <c r="I39" s="2752"/>
      <c r="J39" s="2286"/>
      <c r="K39" s="2850"/>
      <c r="L39" s="2261"/>
      <c r="M39" s="2191"/>
      <c r="N39" s="2752"/>
      <c r="O39" s="2534"/>
      <c r="P39" s="3074"/>
      <c r="Q39" s="2269"/>
      <c r="R39" s="2269"/>
      <c r="S39" s="2693" t="s">
        <v>366</v>
      </c>
      <c r="T39" s="1973">
        <v>2800000</v>
      </c>
      <c r="U39" s="1696">
        <v>20</v>
      </c>
      <c r="V39" s="1651" t="s">
        <v>70</v>
      </c>
      <c r="W39" s="2215"/>
      <c r="X39" s="2215"/>
      <c r="Y39" s="2215"/>
      <c r="Z39" s="2215"/>
      <c r="AA39" s="2215"/>
      <c r="AB39" s="2215"/>
      <c r="AC39" s="2215"/>
      <c r="AD39" s="2215"/>
      <c r="AE39" s="2215"/>
      <c r="AF39" s="2215"/>
      <c r="AG39" s="2215"/>
      <c r="AH39" s="2215"/>
      <c r="AI39" s="2215"/>
      <c r="AJ39" s="2215"/>
      <c r="AK39" s="2215"/>
      <c r="AL39" s="2215"/>
      <c r="AM39" s="2973"/>
      <c r="AN39" s="2973"/>
      <c r="AO39" s="2976"/>
    </row>
    <row r="40" spans="1:41" s="485" customFormat="1" ht="60" x14ac:dyDescent="0.25">
      <c r="A40" s="398"/>
      <c r="B40" s="493"/>
      <c r="C40" s="407"/>
      <c r="D40" s="2233"/>
      <c r="E40" s="2233"/>
      <c r="F40" s="2234"/>
      <c r="G40" s="3005"/>
      <c r="H40" s="3005"/>
      <c r="I40" s="2752"/>
      <c r="J40" s="2286"/>
      <c r="K40" s="3115"/>
      <c r="L40" s="2261"/>
      <c r="M40" s="2191"/>
      <c r="N40" s="2752"/>
      <c r="O40" s="2534"/>
      <c r="P40" s="3074"/>
      <c r="Q40" s="2316"/>
      <c r="R40" s="2316"/>
      <c r="S40" s="2752"/>
      <c r="T40" s="1975">
        <v>5000000</v>
      </c>
      <c r="U40" s="351">
        <v>88</v>
      </c>
      <c r="V40" s="1651" t="s">
        <v>339</v>
      </c>
      <c r="W40" s="2215"/>
      <c r="X40" s="2215"/>
      <c r="Y40" s="2215"/>
      <c r="Z40" s="2215"/>
      <c r="AA40" s="2215"/>
      <c r="AB40" s="2215"/>
      <c r="AC40" s="2215"/>
      <c r="AD40" s="2215"/>
      <c r="AE40" s="2215"/>
      <c r="AF40" s="2215"/>
      <c r="AG40" s="2215"/>
      <c r="AH40" s="2215"/>
      <c r="AI40" s="2215"/>
      <c r="AJ40" s="2215"/>
      <c r="AK40" s="2215"/>
      <c r="AL40" s="2215"/>
      <c r="AM40" s="2973"/>
      <c r="AN40" s="2973"/>
      <c r="AO40" s="2976"/>
    </row>
    <row r="41" spans="1:41" s="485" customFormat="1" ht="15.75" x14ac:dyDescent="0.25">
      <c r="A41" s="2978"/>
      <c r="B41" s="2979"/>
      <c r="C41" s="2980"/>
      <c r="D41" s="509">
        <v>8</v>
      </c>
      <c r="E41" s="510" t="s">
        <v>430</v>
      </c>
      <c r="F41" s="511"/>
      <c r="G41" s="512"/>
      <c r="H41" s="536"/>
      <c r="I41" s="424"/>
      <c r="J41" s="424"/>
      <c r="K41" s="537"/>
      <c r="L41" s="1903"/>
      <c r="M41" s="537"/>
      <c r="N41" s="424"/>
      <c r="O41" s="538"/>
      <c r="P41" s="1897"/>
      <c r="Q41" s="539"/>
      <c r="R41" s="539"/>
      <c r="S41" s="424"/>
      <c r="T41" s="1976"/>
      <c r="U41" s="540"/>
      <c r="V41" s="424"/>
      <c r="W41" s="537"/>
      <c r="X41" s="537"/>
      <c r="Y41" s="537"/>
      <c r="Z41" s="537"/>
      <c r="AA41" s="537"/>
      <c r="AB41" s="537"/>
      <c r="AC41" s="537"/>
      <c r="AD41" s="537"/>
      <c r="AE41" s="537"/>
      <c r="AF41" s="537"/>
      <c r="AG41" s="537"/>
      <c r="AH41" s="537"/>
      <c r="AI41" s="537"/>
      <c r="AJ41" s="537"/>
      <c r="AK41" s="537"/>
      <c r="AL41" s="537"/>
      <c r="AM41" s="537"/>
      <c r="AN41" s="537"/>
      <c r="AO41" s="537"/>
    </row>
    <row r="42" spans="1:41" s="485" customFormat="1" ht="60" x14ac:dyDescent="0.25">
      <c r="A42" s="398"/>
      <c r="B42" s="493"/>
      <c r="C42" s="407"/>
      <c r="D42" s="3108"/>
      <c r="E42" s="3108"/>
      <c r="F42" s="2348"/>
      <c r="G42" s="3004">
        <v>1707069</v>
      </c>
      <c r="H42" s="3111" t="s">
        <v>431</v>
      </c>
      <c r="I42" s="2303" t="s">
        <v>432</v>
      </c>
      <c r="J42" s="2772" t="s">
        <v>433</v>
      </c>
      <c r="K42" s="2344">
        <v>5</v>
      </c>
      <c r="L42" s="2323" t="s">
        <v>373</v>
      </c>
      <c r="M42" s="2668" t="s">
        <v>374</v>
      </c>
      <c r="N42" s="2864" t="s">
        <v>434</v>
      </c>
      <c r="O42" s="3032">
        <f>+(T42+T43+T44)/100000000</f>
        <v>0.5</v>
      </c>
      <c r="P42" s="3107">
        <v>50000000</v>
      </c>
      <c r="Q42" s="2430" t="s">
        <v>376</v>
      </c>
      <c r="R42" s="2430" t="s">
        <v>377</v>
      </c>
      <c r="S42" s="2723" t="s">
        <v>435</v>
      </c>
      <c r="T42" s="1967">
        <v>25000000</v>
      </c>
      <c r="U42" s="492">
        <v>88</v>
      </c>
      <c r="V42" s="1651" t="s">
        <v>339</v>
      </c>
      <c r="W42" s="3104">
        <v>65000</v>
      </c>
      <c r="X42" s="3104">
        <v>65000</v>
      </c>
      <c r="Y42" s="3104">
        <v>22000</v>
      </c>
      <c r="Z42" s="3104">
        <v>14000</v>
      </c>
      <c r="AA42" s="3104">
        <v>79000</v>
      </c>
      <c r="AB42" s="3104">
        <v>15000</v>
      </c>
      <c r="AC42" s="3104"/>
      <c r="AD42" s="3104"/>
      <c r="AE42" s="3104"/>
      <c r="AF42" s="3104"/>
      <c r="AG42" s="3104"/>
      <c r="AH42" s="3104"/>
      <c r="AI42" s="3104"/>
      <c r="AJ42" s="3104"/>
      <c r="AK42" s="3104"/>
      <c r="AL42" s="3104">
        <v>130000</v>
      </c>
      <c r="AM42" s="3105">
        <v>44033</v>
      </c>
      <c r="AN42" s="3105">
        <v>44195</v>
      </c>
      <c r="AO42" s="3106" t="s">
        <v>337</v>
      </c>
    </row>
    <row r="43" spans="1:41" s="485" customFormat="1" ht="46.5" customHeight="1" x14ac:dyDescent="0.25">
      <c r="A43" s="398"/>
      <c r="B43" s="493"/>
      <c r="C43" s="407"/>
      <c r="D43" s="3109"/>
      <c r="E43" s="3109"/>
      <c r="F43" s="2222"/>
      <c r="G43" s="3110"/>
      <c r="H43" s="3112"/>
      <c r="I43" s="2303"/>
      <c r="J43" s="2772"/>
      <c r="K43" s="2351"/>
      <c r="L43" s="2323"/>
      <c r="M43" s="2668"/>
      <c r="N43" s="2864"/>
      <c r="O43" s="3032"/>
      <c r="P43" s="3107"/>
      <c r="Q43" s="2441"/>
      <c r="R43" s="2441"/>
      <c r="S43" s="2302"/>
      <c r="T43" s="1967">
        <v>0</v>
      </c>
      <c r="U43" s="1696">
        <v>20</v>
      </c>
      <c r="V43" s="1651" t="s">
        <v>70</v>
      </c>
      <c r="W43" s="3104"/>
      <c r="X43" s="3104"/>
      <c r="Y43" s="3104"/>
      <c r="Z43" s="3104"/>
      <c r="AA43" s="3104"/>
      <c r="AB43" s="3104"/>
      <c r="AC43" s="3104"/>
      <c r="AD43" s="3104"/>
      <c r="AE43" s="3104"/>
      <c r="AF43" s="3104"/>
      <c r="AG43" s="3104"/>
      <c r="AH43" s="3104"/>
      <c r="AI43" s="3104"/>
      <c r="AJ43" s="3104"/>
      <c r="AK43" s="3104"/>
      <c r="AL43" s="3104"/>
      <c r="AM43" s="3105"/>
      <c r="AN43" s="3105"/>
      <c r="AO43" s="3106"/>
    </row>
    <row r="44" spans="1:41" s="485" customFormat="1" ht="159" customHeight="1" x14ac:dyDescent="0.25">
      <c r="A44" s="398"/>
      <c r="B44" s="493"/>
      <c r="C44" s="407"/>
      <c r="D44" s="3109"/>
      <c r="E44" s="3109"/>
      <c r="F44" s="2222"/>
      <c r="G44" s="3005"/>
      <c r="H44" s="3113"/>
      <c r="I44" s="2303"/>
      <c r="J44" s="2772"/>
      <c r="K44" s="2345"/>
      <c r="L44" s="2323"/>
      <c r="M44" s="2668"/>
      <c r="N44" s="2864"/>
      <c r="O44" s="3032"/>
      <c r="P44" s="3107"/>
      <c r="Q44" s="2442"/>
      <c r="R44" s="2442"/>
      <c r="S44" s="353" t="s">
        <v>436</v>
      </c>
      <c r="T44" s="1967">
        <v>25000000</v>
      </c>
      <c r="U44" s="1696">
        <v>20</v>
      </c>
      <c r="V44" s="1651" t="s">
        <v>70</v>
      </c>
      <c r="W44" s="3104"/>
      <c r="X44" s="3104"/>
      <c r="Y44" s="3104"/>
      <c r="Z44" s="3104"/>
      <c r="AA44" s="3104"/>
      <c r="AB44" s="3104"/>
      <c r="AC44" s="3104"/>
      <c r="AD44" s="3104"/>
      <c r="AE44" s="3104"/>
      <c r="AF44" s="3104"/>
      <c r="AG44" s="3104"/>
      <c r="AH44" s="3104"/>
      <c r="AI44" s="3104"/>
      <c r="AJ44" s="3104"/>
      <c r="AK44" s="3104"/>
      <c r="AL44" s="3104"/>
      <c r="AM44" s="3105"/>
      <c r="AN44" s="3105"/>
      <c r="AO44" s="3106"/>
    </row>
    <row r="45" spans="1:41" s="485" customFormat="1" ht="15.75" x14ac:dyDescent="0.25">
      <c r="A45" s="2978"/>
      <c r="B45" s="2979"/>
      <c r="C45" s="2980"/>
      <c r="D45" s="509">
        <v>9</v>
      </c>
      <c r="E45" s="510" t="s">
        <v>437</v>
      </c>
      <c r="F45" s="511"/>
      <c r="G45" s="541"/>
      <c r="H45" s="541"/>
      <c r="I45" s="542"/>
      <c r="J45" s="542"/>
      <c r="K45" s="543"/>
      <c r="L45" s="950"/>
      <c r="M45" s="543"/>
      <c r="N45" s="542"/>
      <c r="O45" s="542"/>
      <c r="P45" s="1898"/>
      <c r="Q45" s="542"/>
      <c r="R45" s="542"/>
      <c r="S45" s="542"/>
      <c r="T45" s="1977"/>
      <c r="U45" s="544"/>
      <c r="V45" s="542"/>
      <c r="W45" s="544"/>
      <c r="X45" s="544"/>
      <c r="Y45" s="544"/>
      <c r="Z45" s="544"/>
      <c r="AA45" s="544"/>
      <c r="AB45" s="544"/>
      <c r="AC45" s="544"/>
      <c r="AD45" s="544"/>
      <c r="AE45" s="544"/>
      <c r="AF45" s="544"/>
      <c r="AG45" s="544"/>
      <c r="AH45" s="544"/>
      <c r="AI45" s="544"/>
      <c r="AJ45" s="544"/>
      <c r="AK45" s="544"/>
      <c r="AL45" s="544"/>
      <c r="AM45" s="544"/>
      <c r="AN45" s="544"/>
      <c r="AO45" s="544"/>
    </row>
    <row r="46" spans="1:41" s="485" customFormat="1" ht="171.75" customHeight="1" x14ac:dyDescent="0.25">
      <c r="A46" s="545"/>
      <c r="B46" s="546"/>
      <c r="C46" s="547"/>
      <c r="D46" s="548"/>
      <c r="E46" s="548"/>
      <c r="F46" s="549"/>
      <c r="G46" s="550">
        <v>1708016</v>
      </c>
      <c r="H46" s="551" t="s">
        <v>438</v>
      </c>
      <c r="I46" s="501" t="s">
        <v>414</v>
      </c>
      <c r="J46" s="357" t="s">
        <v>439</v>
      </c>
      <c r="K46" s="335">
        <v>2</v>
      </c>
      <c r="L46" s="2260" t="s">
        <v>440</v>
      </c>
      <c r="M46" s="2416" t="s">
        <v>441</v>
      </c>
      <c r="N46" s="2268" t="s">
        <v>442</v>
      </c>
      <c r="O46" s="530">
        <f>+T46/P46</f>
        <v>0.50850723193927094</v>
      </c>
      <c r="P46" s="2998">
        <v>30519269</v>
      </c>
      <c r="Q46" s="2268" t="s">
        <v>443</v>
      </c>
      <c r="R46" s="2268" t="s">
        <v>444</v>
      </c>
      <c r="S46" s="501" t="s">
        <v>445</v>
      </c>
      <c r="T46" s="1973">
        <v>15519269</v>
      </c>
      <c r="U46" s="535">
        <v>88</v>
      </c>
      <c r="V46" s="1651" t="s">
        <v>339</v>
      </c>
      <c r="W46" s="2294">
        <v>3000</v>
      </c>
      <c r="X46" s="2294">
        <v>3000</v>
      </c>
      <c r="Y46" s="2294">
        <v>2000</v>
      </c>
      <c r="Z46" s="2294">
        <v>1000</v>
      </c>
      <c r="AA46" s="2294">
        <v>2500</v>
      </c>
      <c r="AB46" s="2294">
        <v>500</v>
      </c>
      <c r="AC46" s="2294"/>
      <c r="AD46" s="2294"/>
      <c r="AE46" s="2294"/>
      <c r="AF46" s="2294"/>
      <c r="AG46" s="2294"/>
      <c r="AH46" s="2294"/>
      <c r="AI46" s="2294"/>
      <c r="AJ46" s="2294"/>
      <c r="AK46" s="2294"/>
      <c r="AL46" s="2294">
        <v>6000</v>
      </c>
      <c r="AM46" s="2972">
        <v>44033</v>
      </c>
      <c r="AN46" s="2972">
        <v>44195</v>
      </c>
      <c r="AO46" s="2975" t="s">
        <v>337</v>
      </c>
    </row>
    <row r="47" spans="1:41" s="556" customFormat="1" ht="60" x14ac:dyDescent="0.25">
      <c r="A47" s="552"/>
      <c r="B47" s="553"/>
      <c r="C47" s="553"/>
      <c r="D47" s="553"/>
      <c r="E47" s="553"/>
      <c r="F47" s="554"/>
      <c r="G47" s="551">
        <v>1708051</v>
      </c>
      <c r="H47" s="551" t="s">
        <v>446</v>
      </c>
      <c r="I47" s="357" t="s">
        <v>447</v>
      </c>
      <c r="J47" s="357" t="s">
        <v>448</v>
      </c>
      <c r="K47" s="137">
        <v>1</v>
      </c>
      <c r="L47" s="2262"/>
      <c r="M47" s="2682"/>
      <c r="N47" s="2270"/>
      <c r="O47" s="555">
        <f>T47/P46</f>
        <v>0.49149276806072911</v>
      </c>
      <c r="P47" s="2999"/>
      <c r="Q47" s="2270"/>
      <c r="R47" s="2270"/>
      <c r="S47" s="501" t="s">
        <v>449</v>
      </c>
      <c r="T47" s="1973">
        <v>15000000</v>
      </c>
      <c r="U47" s="535">
        <v>88</v>
      </c>
      <c r="V47" s="1651" t="s">
        <v>339</v>
      </c>
      <c r="W47" s="2296"/>
      <c r="X47" s="2296"/>
      <c r="Y47" s="2296"/>
      <c r="Z47" s="2296"/>
      <c r="AA47" s="2296"/>
      <c r="AB47" s="2296"/>
      <c r="AC47" s="2296"/>
      <c r="AD47" s="2296"/>
      <c r="AE47" s="2296"/>
      <c r="AF47" s="2296"/>
      <c r="AG47" s="2296"/>
      <c r="AH47" s="2296"/>
      <c r="AI47" s="2296"/>
      <c r="AJ47" s="2296"/>
      <c r="AK47" s="2296"/>
      <c r="AL47" s="2296"/>
      <c r="AM47" s="2974"/>
      <c r="AN47" s="2974"/>
      <c r="AO47" s="2977"/>
    </row>
    <row r="48" spans="1:41" s="485" customFormat="1" ht="15.75" x14ac:dyDescent="0.25">
      <c r="A48" s="2978"/>
      <c r="B48" s="2979"/>
      <c r="C48" s="2980"/>
      <c r="D48" s="509">
        <v>10</v>
      </c>
      <c r="E48" s="3099" t="s">
        <v>450</v>
      </c>
      <c r="F48" s="3099"/>
      <c r="G48" s="3100"/>
      <c r="H48" s="3099"/>
      <c r="I48" s="3100"/>
      <c r="J48" s="3100"/>
      <c r="K48" s="3100"/>
      <c r="L48" s="420"/>
      <c r="M48" s="557"/>
      <c r="N48" s="71"/>
      <c r="O48" s="558"/>
      <c r="P48" s="1899"/>
      <c r="Q48" s="71"/>
      <c r="R48" s="71"/>
      <c r="S48" s="71"/>
      <c r="T48" s="1978"/>
      <c r="U48" s="544"/>
      <c r="V48" s="542"/>
      <c r="W48" s="531"/>
      <c r="X48" s="531"/>
      <c r="Y48" s="531"/>
      <c r="Z48" s="531"/>
      <c r="AA48" s="531"/>
      <c r="AB48" s="531"/>
      <c r="AC48" s="531"/>
      <c r="AD48" s="531"/>
      <c r="AE48" s="531"/>
      <c r="AF48" s="531"/>
      <c r="AG48" s="531"/>
      <c r="AH48" s="531"/>
      <c r="AI48" s="531"/>
      <c r="AJ48" s="531"/>
      <c r="AK48" s="531"/>
      <c r="AL48" s="531"/>
      <c r="AM48" s="531"/>
      <c r="AN48" s="531"/>
      <c r="AO48" s="531"/>
    </row>
    <row r="49" spans="1:42" s="485" customFormat="1" ht="60" x14ac:dyDescent="0.25">
      <c r="A49" s="398"/>
      <c r="B49" s="493"/>
      <c r="C49" s="493"/>
      <c r="D49" s="400"/>
      <c r="E49" s="401"/>
      <c r="F49" s="402"/>
      <c r="G49" s="504">
        <v>1709019</v>
      </c>
      <c r="H49" s="559" t="s">
        <v>451</v>
      </c>
      <c r="I49" s="560" t="s">
        <v>452</v>
      </c>
      <c r="J49" s="357" t="s">
        <v>452</v>
      </c>
      <c r="K49" s="335">
        <v>2</v>
      </c>
      <c r="L49" s="2260" t="s">
        <v>453</v>
      </c>
      <c r="M49" s="3101" t="s">
        <v>400</v>
      </c>
      <c r="N49" s="3102" t="s">
        <v>454</v>
      </c>
      <c r="O49" s="530">
        <f>+T49/105000000</f>
        <v>0.47619047619047616</v>
      </c>
      <c r="P49" s="3103">
        <v>75000000</v>
      </c>
      <c r="Q49" s="2268" t="s">
        <v>402</v>
      </c>
      <c r="R49" s="2268" t="s">
        <v>403</v>
      </c>
      <c r="S49" s="501" t="s">
        <v>455</v>
      </c>
      <c r="T49" s="1972">
        <v>50000000</v>
      </c>
      <c r="U49" s="492">
        <v>88</v>
      </c>
      <c r="V49" s="1651" t="s">
        <v>339</v>
      </c>
      <c r="W49" s="3095">
        <v>600</v>
      </c>
      <c r="X49" s="3095">
        <v>600</v>
      </c>
      <c r="Y49" s="3095">
        <v>125</v>
      </c>
      <c r="Z49" s="3095">
        <v>75</v>
      </c>
      <c r="AA49" s="3095">
        <v>300</v>
      </c>
      <c r="AB49" s="3095">
        <v>700</v>
      </c>
      <c r="AC49" s="3095"/>
      <c r="AD49" s="3095"/>
      <c r="AE49" s="3095"/>
      <c r="AF49" s="3095"/>
      <c r="AG49" s="3095"/>
      <c r="AH49" s="3095"/>
      <c r="AI49" s="3095"/>
      <c r="AJ49" s="3095"/>
      <c r="AK49" s="3095"/>
      <c r="AL49" s="3095">
        <v>1200</v>
      </c>
      <c r="AM49" s="3097">
        <v>44033</v>
      </c>
      <c r="AN49" s="3097">
        <v>44195</v>
      </c>
      <c r="AO49" s="3090" t="s">
        <v>337</v>
      </c>
    </row>
    <row r="50" spans="1:42" s="485" customFormat="1" ht="48.75" customHeight="1" x14ac:dyDescent="0.25">
      <c r="A50" s="398"/>
      <c r="B50" s="493"/>
      <c r="C50" s="493"/>
      <c r="D50" s="398"/>
      <c r="E50" s="493"/>
      <c r="F50" s="407"/>
      <c r="G50" s="3092">
        <v>1709034</v>
      </c>
      <c r="H50" s="3094" t="s">
        <v>456</v>
      </c>
      <c r="I50" s="2303" t="s">
        <v>457</v>
      </c>
      <c r="J50" s="2846" t="s">
        <v>457</v>
      </c>
      <c r="K50" s="2196">
        <v>1</v>
      </c>
      <c r="L50" s="2261"/>
      <c r="M50" s="3101"/>
      <c r="N50" s="3102"/>
      <c r="O50" s="2996">
        <f>+(T50+T51)/(105000000)</f>
        <v>0.23809523809523808</v>
      </c>
      <c r="P50" s="3103"/>
      <c r="Q50" s="2269"/>
      <c r="R50" s="2269"/>
      <c r="S50" s="501" t="s">
        <v>458</v>
      </c>
      <c r="T50" s="1972">
        <v>0</v>
      </c>
      <c r="U50" s="492"/>
      <c r="V50" s="350"/>
      <c r="W50" s="3096"/>
      <c r="X50" s="3096"/>
      <c r="Y50" s="3096"/>
      <c r="Z50" s="3096"/>
      <c r="AA50" s="3096"/>
      <c r="AB50" s="3096"/>
      <c r="AC50" s="3096"/>
      <c r="AD50" s="3096"/>
      <c r="AE50" s="3096"/>
      <c r="AF50" s="3096"/>
      <c r="AG50" s="3096"/>
      <c r="AH50" s="3096"/>
      <c r="AI50" s="3096"/>
      <c r="AJ50" s="3096"/>
      <c r="AK50" s="3096"/>
      <c r="AL50" s="3096"/>
      <c r="AM50" s="3098"/>
      <c r="AN50" s="3098"/>
      <c r="AO50" s="3091"/>
    </row>
    <row r="51" spans="1:42" s="485" customFormat="1" ht="60" x14ac:dyDescent="0.25">
      <c r="A51" s="398"/>
      <c r="B51" s="493"/>
      <c r="C51" s="493"/>
      <c r="D51" s="398"/>
      <c r="E51" s="493"/>
      <c r="F51" s="407"/>
      <c r="G51" s="3093"/>
      <c r="H51" s="3094"/>
      <c r="I51" s="2303"/>
      <c r="J51" s="2848"/>
      <c r="K51" s="2811"/>
      <c r="L51" s="2261"/>
      <c r="M51" s="3101"/>
      <c r="N51" s="3102"/>
      <c r="O51" s="2997"/>
      <c r="P51" s="3103"/>
      <c r="Q51" s="2269"/>
      <c r="R51" s="2269"/>
      <c r="S51" s="501" t="s">
        <v>459</v>
      </c>
      <c r="T51" s="1972">
        <v>25000000</v>
      </c>
      <c r="U51" s="492">
        <v>88</v>
      </c>
      <c r="V51" s="1651" t="s">
        <v>339</v>
      </c>
      <c r="W51" s="3096"/>
      <c r="X51" s="3096"/>
      <c r="Y51" s="3096"/>
      <c r="Z51" s="3096"/>
      <c r="AA51" s="3096"/>
      <c r="AB51" s="3096"/>
      <c r="AC51" s="3096"/>
      <c r="AD51" s="3096"/>
      <c r="AE51" s="3096"/>
      <c r="AF51" s="3096"/>
      <c r="AG51" s="3096"/>
      <c r="AH51" s="3096"/>
      <c r="AI51" s="3096"/>
      <c r="AJ51" s="3096"/>
      <c r="AK51" s="3096"/>
      <c r="AL51" s="3096"/>
      <c r="AM51" s="3098"/>
      <c r="AN51" s="3098"/>
      <c r="AO51" s="3091"/>
      <c r="AP51" s="561"/>
    </row>
    <row r="52" spans="1:42" s="485" customFormat="1" ht="15.75" x14ac:dyDescent="0.25">
      <c r="A52" s="2978"/>
      <c r="B52" s="2979"/>
      <c r="C52" s="2980"/>
      <c r="D52" s="509">
        <v>27</v>
      </c>
      <c r="E52" s="510" t="s">
        <v>460</v>
      </c>
      <c r="F52" s="511"/>
      <c r="G52" s="541"/>
      <c r="H52" s="543"/>
      <c r="I52" s="529"/>
      <c r="J52" s="529"/>
      <c r="K52" s="541"/>
      <c r="L52" s="1904"/>
      <c r="M52" s="512"/>
      <c r="N52" s="513"/>
      <c r="O52" s="514"/>
      <c r="P52" s="1895"/>
      <c r="Q52" s="513"/>
      <c r="R52" s="513"/>
      <c r="S52" s="529"/>
      <c r="T52" s="1979"/>
      <c r="U52" s="544"/>
      <c r="V52" s="542"/>
      <c r="W52" s="528"/>
      <c r="X52" s="528"/>
      <c r="Y52" s="528"/>
      <c r="Z52" s="528"/>
      <c r="AA52" s="528"/>
      <c r="AB52" s="528"/>
      <c r="AC52" s="528"/>
      <c r="AD52" s="528"/>
      <c r="AE52" s="528"/>
      <c r="AF52" s="528"/>
      <c r="AG52" s="528"/>
      <c r="AH52" s="528"/>
      <c r="AI52" s="528"/>
      <c r="AJ52" s="528"/>
      <c r="AK52" s="528"/>
      <c r="AL52" s="528"/>
      <c r="AM52" s="528"/>
      <c r="AN52" s="528"/>
      <c r="AO52" s="528"/>
    </row>
    <row r="53" spans="1:42" s="485" customFormat="1" ht="41.25" customHeight="1" x14ac:dyDescent="0.25">
      <c r="A53" s="532"/>
      <c r="B53" s="533"/>
      <c r="C53" s="533"/>
      <c r="D53" s="3082"/>
      <c r="E53" s="3085"/>
      <c r="F53" s="3085"/>
      <c r="G53" s="3089">
        <v>3502017</v>
      </c>
      <c r="H53" s="3089" t="s">
        <v>461</v>
      </c>
      <c r="I53" s="2583" t="s">
        <v>462</v>
      </c>
      <c r="J53" s="2303" t="s">
        <v>463</v>
      </c>
      <c r="K53" s="3078">
        <v>6</v>
      </c>
      <c r="L53" s="2323" t="s">
        <v>357</v>
      </c>
      <c r="M53" s="2325" t="s">
        <v>358</v>
      </c>
      <c r="N53" s="2693" t="s">
        <v>359</v>
      </c>
      <c r="O53" s="2996">
        <f>+(T53+T54+T55)/(114200000)</f>
        <v>0.19385989492119091</v>
      </c>
      <c r="P53" s="3073">
        <v>40000000</v>
      </c>
      <c r="Q53" s="2268" t="s">
        <v>360</v>
      </c>
      <c r="R53" s="3076" t="s">
        <v>361</v>
      </c>
      <c r="S53" s="349" t="s">
        <v>464</v>
      </c>
      <c r="T53" s="1967">
        <v>5000000</v>
      </c>
      <c r="U53" s="1696">
        <v>20</v>
      </c>
      <c r="V53" s="1651" t="s">
        <v>70</v>
      </c>
      <c r="W53" s="3069">
        <v>100</v>
      </c>
      <c r="X53" s="3069">
        <v>60</v>
      </c>
      <c r="Y53" s="3069">
        <v>0</v>
      </c>
      <c r="Z53" s="3069">
        <v>0</v>
      </c>
      <c r="AA53" s="3069">
        <v>110</v>
      </c>
      <c r="AB53" s="3069">
        <v>50</v>
      </c>
      <c r="AC53" s="3069">
        <v>0</v>
      </c>
      <c r="AD53" s="3069">
        <v>0</v>
      </c>
      <c r="AE53" s="3069">
        <v>0</v>
      </c>
      <c r="AF53" s="3069">
        <v>0</v>
      </c>
      <c r="AG53" s="3069">
        <v>0</v>
      </c>
      <c r="AH53" s="3069">
        <v>0</v>
      </c>
      <c r="AI53" s="3069">
        <v>0</v>
      </c>
      <c r="AJ53" s="3069">
        <v>0</v>
      </c>
      <c r="AK53" s="3069">
        <v>0</v>
      </c>
      <c r="AL53" s="3069">
        <v>160</v>
      </c>
      <c r="AM53" s="3012">
        <v>43832</v>
      </c>
      <c r="AN53" s="3012">
        <v>44195</v>
      </c>
      <c r="AO53" s="3081" t="s">
        <v>337</v>
      </c>
    </row>
    <row r="54" spans="1:42" s="485" customFormat="1" ht="60" x14ac:dyDescent="0.25">
      <c r="A54" s="532"/>
      <c r="B54" s="533"/>
      <c r="C54" s="533"/>
      <c r="D54" s="3083"/>
      <c r="E54" s="3086"/>
      <c r="F54" s="3086"/>
      <c r="G54" s="3089"/>
      <c r="H54" s="3089"/>
      <c r="I54" s="2583"/>
      <c r="J54" s="2303"/>
      <c r="K54" s="3079"/>
      <c r="L54" s="2323"/>
      <c r="M54" s="2326"/>
      <c r="N54" s="2752"/>
      <c r="O54" s="3009"/>
      <c r="P54" s="3074"/>
      <c r="Q54" s="2269"/>
      <c r="R54" s="2312"/>
      <c r="S54" s="2269" t="s">
        <v>465</v>
      </c>
      <c r="T54" s="1971">
        <v>10000000</v>
      </c>
      <c r="U54" s="562">
        <v>88</v>
      </c>
      <c r="V54" s="1651" t="s">
        <v>339</v>
      </c>
      <c r="W54" s="3070"/>
      <c r="X54" s="3070"/>
      <c r="Y54" s="3070"/>
      <c r="Z54" s="3070"/>
      <c r="AA54" s="3070"/>
      <c r="AB54" s="3070"/>
      <c r="AC54" s="3070"/>
      <c r="AD54" s="3070"/>
      <c r="AE54" s="3070"/>
      <c r="AF54" s="3070"/>
      <c r="AG54" s="3070"/>
      <c r="AH54" s="3070"/>
      <c r="AI54" s="3070"/>
      <c r="AJ54" s="3070"/>
      <c r="AK54" s="3070"/>
      <c r="AL54" s="3070"/>
      <c r="AM54" s="3072"/>
      <c r="AN54" s="3072"/>
      <c r="AO54" s="3007"/>
    </row>
    <row r="55" spans="1:42" s="485" customFormat="1" ht="38.25" customHeight="1" x14ac:dyDescent="0.25">
      <c r="A55" s="398"/>
      <c r="B55" s="493"/>
      <c r="C55" s="493"/>
      <c r="D55" s="3083"/>
      <c r="E55" s="3086"/>
      <c r="F55" s="3086"/>
      <c r="G55" s="3089"/>
      <c r="H55" s="3089"/>
      <c r="I55" s="2583"/>
      <c r="J55" s="2303"/>
      <c r="K55" s="3080"/>
      <c r="L55" s="2323"/>
      <c r="M55" s="2326"/>
      <c r="N55" s="2752"/>
      <c r="O55" s="3009"/>
      <c r="P55" s="3074"/>
      <c r="Q55" s="2269"/>
      <c r="R55" s="2312"/>
      <c r="S55" s="2270"/>
      <c r="T55" s="1972">
        <v>7138800</v>
      </c>
      <c r="U55" s="1696">
        <v>20</v>
      </c>
      <c r="V55" s="1651" t="s">
        <v>70</v>
      </c>
      <c r="W55" s="3070"/>
      <c r="X55" s="3070"/>
      <c r="Y55" s="3070"/>
      <c r="Z55" s="3070"/>
      <c r="AA55" s="3070"/>
      <c r="AB55" s="3070"/>
      <c r="AC55" s="3070"/>
      <c r="AD55" s="3070"/>
      <c r="AE55" s="3070"/>
      <c r="AF55" s="3070"/>
      <c r="AG55" s="3070"/>
      <c r="AH55" s="3070"/>
      <c r="AI55" s="3070"/>
      <c r="AJ55" s="3070"/>
      <c r="AK55" s="3070"/>
      <c r="AL55" s="3070"/>
      <c r="AM55" s="3072"/>
      <c r="AN55" s="3072"/>
      <c r="AO55" s="3007"/>
    </row>
    <row r="56" spans="1:42" s="485" customFormat="1" ht="84" customHeight="1" x14ac:dyDescent="0.25">
      <c r="A56" s="415"/>
      <c r="B56" s="416"/>
      <c r="C56" s="416"/>
      <c r="D56" s="3084"/>
      <c r="E56" s="3087"/>
      <c r="F56" s="3088"/>
      <c r="G56" s="495">
        <v>3502007</v>
      </c>
      <c r="H56" s="495" t="s">
        <v>467</v>
      </c>
      <c r="I56" s="563" t="s">
        <v>468</v>
      </c>
      <c r="J56" s="564" t="s">
        <v>469</v>
      </c>
      <c r="K56" s="565">
        <v>5</v>
      </c>
      <c r="L56" s="2323"/>
      <c r="M56" s="2327"/>
      <c r="N56" s="2744"/>
      <c r="O56" s="566">
        <f>+T56/114200000</f>
        <v>0.15640280210157617</v>
      </c>
      <c r="P56" s="3075"/>
      <c r="Q56" s="2270"/>
      <c r="R56" s="3077"/>
      <c r="S56" s="501" t="s">
        <v>470</v>
      </c>
      <c r="T56" s="1972">
        <v>17861200</v>
      </c>
      <c r="U56" s="1696">
        <v>20</v>
      </c>
      <c r="V56" s="1651" t="s">
        <v>70</v>
      </c>
      <c r="W56" s="3071"/>
      <c r="X56" s="3071"/>
      <c r="Y56" s="3071"/>
      <c r="Z56" s="3071"/>
      <c r="AA56" s="3071"/>
      <c r="AB56" s="3071"/>
      <c r="AC56" s="3071"/>
      <c r="AD56" s="3071"/>
      <c r="AE56" s="3071"/>
      <c r="AF56" s="3071"/>
      <c r="AG56" s="3071"/>
      <c r="AH56" s="3071"/>
      <c r="AI56" s="3071"/>
      <c r="AJ56" s="3071"/>
      <c r="AK56" s="3071"/>
      <c r="AL56" s="3071"/>
      <c r="AM56" s="3013"/>
      <c r="AN56" s="3013"/>
      <c r="AO56" s="3008"/>
    </row>
    <row r="57" spans="1:42" s="485" customFormat="1" ht="15.75" x14ac:dyDescent="0.25">
      <c r="A57" s="567">
        <v>3</v>
      </c>
      <c r="B57" s="568" t="s">
        <v>471</v>
      </c>
      <c r="C57" s="569"/>
      <c r="D57" s="570"/>
      <c r="E57" s="570"/>
      <c r="F57" s="570"/>
      <c r="G57" s="571"/>
      <c r="H57" s="571"/>
      <c r="I57" s="572"/>
      <c r="J57" s="572"/>
      <c r="K57" s="571"/>
      <c r="L57" s="1905"/>
      <c r="M57" s="573"/>
      <c r="N57" s="574"/>
      <c r="O57" s="575"/>
      <c r="P57" s="1900"/>
      <c r="Q57" s="574"/>
      <c r="R57" s="574"/>
      <c r="S57" s="574"/>
      <c r="T57" s="1980"/>
      <c r="U57" s="576"/>
      <c r="V57" s="572"/>
      <c r="W57" s="576"/>
      <c r="X57" s="576"/>
      <c r="Y57" s="576"/>
      <c r="Z57" s="576"/>
      <c r="AA57" s="576"/>
      <c r="AB57" s="576"/>
      <c r="AC57" s="576"/>
      <c r="AD57" s="576"/>
      <c r="AE57" s="576"/>
      <c r="AF57" s="576"/>
      <c r="AG57" s="576"/>
      <c r="AH57" s="576"/>
      <c r="AI57" s="576"/>
      <c r="AJ57" s="576"/>
      <c r="AK57" s="576"/>
      <c r="AL57" s="576"/>
      <c r="AM57" s="576"/>
      <c r="AN57" s="576"/>
      <c r="AO57" s="576"/>
    </row>
    <row r="58" spans="1:42" s="485" customFormat="1" ht="15.75" x14ac:dyDescent="0.25">
      <c r="A58" s="3064"/>
      <c r="B58" s="3065"/>
      <c r="C58" s="3066"/>
      <c r="D58" s="577">
        <v>20</v>
      </c>
      <c r="E58" s="385" t="s">
        <v>472</v>
      </c>
      <c r="F58" s="578"/>
      <c r="G58" s="512"/>
      <c r="H58" s="512"/>
      <c r="I58" s="513"/>
      <c r="J58" s="513"/>
      <c r="K58" s="512"/>
      <c r="L58" s="68"/>
      <c r="M58" s="512"/>
      <c r="N58" s="513"/>
      <c r="O58" s="514"/>
      <c r="P58" s="1895"/>
      <c r="Q58" s="513"/>
      <c r="R58" s="513"/>
      <c r="S58" s="513"/>
      <c r="T58" s="1974"/>
      <c r="U58" s="516"/>
      <c r="V58" s="513"/>
      <c r="W58" s="516"/>
      <c r="X58" s="516"/>
      <c r="Y58" s="516"/>
      <c r="Z58" s="516"/>
      <c r="AA58" s="516"/>
      <c r="AB58" s="516"/>
      <c r="AC58" s="516"/>
      <c r="AD58" s="516"/>
      <c r="AE58" s="516"/>
      <c r="AF58" s="516"/>
      <c r="AG58" s="516"/>
      <c r="AH58" s="516"/>
      <c r="AI58" s="516"/>
      <c r="AJ58" s="516"/>
      <c r="AK58" s="516"/>
      <c r="AL58" s="516"/>
      <c r="AM58" s="516"/>
      <c r="AN58" s="516"/>
      <c r="AO58" s="516"/>
    </row>
    <row r="59" spans="1:42" s="485" customFormat="1" ht="73.5" customHeight="1" x14ac:dyDescent="0.25">
      <c r="A59" s="398"/>
      <c r="B59" s="493"/>
      <c r="C59" s="493"/>
      <c r="D59" s="400"/>
      <c r="E59" s="401"/>
      <c r="F59" s="402"/>
      <c r="G59" s="3067">
        <v>3201013</v>
      </c>
      <c r="H59" s="2993" t="s">
        <v>473</v>
      </c>
      <c r="I59" s="2693" t="s">
        <v>474</v>
      </c>
      <c r="J59" s="2397" t="s">
        <v>475</v>
      </c>
      <c r="K59" s="2196">
        <v>1</v>
      </c>
      <c r="L59" s="2260" t="s">
        <v>476</v>
      </c>
      <c r="M59" s="2416" t="s">
        <v>477</v>
      </c>
      <c r="N59" s="2693" t="s">
        <v>478</v>
      </c>
      <c r="O59" s="2996">
        <f>+(T59+T60)/P59</f>
        <v>1</v>
      </c>
      <c r="P59" s="2998">
        <v>40000000</v>
      </c>
      <c r="Q59" s="2268" t="s">
        <v>479</v>
      </c>
      <c r="R59" s="2268" t="s">
        <v>480</v>
      </c>
      <c r="S59" s="501" t="s">
        <v>481</v>
      </c>
      <c r="T59" s="1973">
        <v>10000000</v>
      </c>
      <c r="U59" s="562">
        <v>88</v>
      </c>
      <c r="V59" s="1651" t="s">
        <v>339</v>
      </c>
      <c r="W59" s="2294">
        <v>39408</v>
      </c>
      <c r="X59" s="2294">
        <v>38892</v>
      </c>
      <c r="Y59" s="2294">
        <v>15324</v>
      </c>
      <c r="Z59" s="2294">
        <v>7104</v>
      </c>
      <c r="AA59" s="2294">
        <v>40867</v>
      </c>
      <c r="AB59" s="2294">
        <v>15005</v>
      </c>
      <c r="AC59" s="2294"/>
      <c r="AD59" s="2294"/>
      <c r="AE59" s="2294"/>
      <c r="AF59" s="2294"/>
      <c r="AG59" s="2294"/>
      <c r="AH59" s="2294"/>
      <c r="AI59" s="2294"/>
      <c r="AJ59" s="2294"/>
      <c r="AK59" s="2294"/>
      <c r="AL59" s="2294">
        <v>78300</v>
      </c>
      <c r="AM59" s="2972">
        <v>44033</v>
      </c>
      <c r="AN59" s="2972">
        <v>44188</v>
      </c>
      <c r="AO59" s="2975" t="s">
        <v>337</v>
      </c>
    </row>
    <row r="60" spans="1:42" s="485" customFormat="1" ht="80.25" customHeight="1" x14ac:dyDescent="0.25">
      <c r="A60" s="398"/>
      <c r="B60" s="493"/>
      <c r="C60" s="493"/>
      <c r="D60" s="415"/>
      <c r="E60" s="416"/>
      <c r="F60" s="417"/>
      <c r="G60" s="3068"/>
      <c r="H60" s="2995"/>
      <c r="I60" s="2694"/>
      <c r="J60" s="2819"/>
      <c r="K60" s="2811"/>
      <c r="L60" s="2262"/>
      <c r="M60" s="2682"/>
      <c r="N60" s="2694"/>
      <c r="O60" s="2997"/>
      <c r="P60" s="2999"/>
      <c r="Q60" s="2270"/>
      <c r="R60" s="2270"/>
      <c r="S60" s="579" t="s">
        <v>482</v>
      </c>
      <c r="T60" s="1975">
        <v>30000000</v>
      </c>
      <c r="U60" s="562">
        <v>88</v>
      </c>
      <c r="V60" s="1651" t="s">
        <v>339</v>
      </c>
      <c r="W60" s="2296"/>
      <c r="X60" s="2296"/>
      <c r="Y60" s="2296"/>
      <c r="Z60" s="2296"/>
      <c r="AA60" s="2296"/>
      <c r="AB60" s="2296"/>
      <c r="AC60" s="2296"/>
      <c r="AD60" s="2296"/>
      <c r="AE60" s="2296"/>
      <c r="AF60" s="2296"/>
      <c r="AG60" s="2296"/>
      <c r="AH60" s="2296"/>
      <c r="AI60" s="2296"/>
      <c r="AJ60" s="2296"/>
      <c r="AK60" s="2296"/>
      <c r="AL60" s="2296"/>
      <c r="AM60" s="2974"/>
      <c r="AN60" s="2974"/>
      <c r="AO60" s="2977"/>
    </row>
    <row r="61" spans="1:42" s="485" customFormat="1" ht="15.75" x14ac:dyDescent="0.25">
      <c r="A61" s="2978"/>
      <c r="B61" s="2979"/>
      <c r="C61" s="2980"/>
      <c r="D61" s="509">
        <v>21</v>
      </c>
      <c r="E61" s="510" t="s">
        <v>483</v>
      </c>
      <c r="F61" s="511"/>
      <c r="G61" s="541"/>
      <c r="H61" s="541"/>
      <c r="I61" s="529"/>
      <c r="J61" s="529"/>
      <c r="K61" s="541"/>
      <c r="L61" s="1904"/>
      <c r="M61" s="541"/>
      <c r="N61" s="529"/>
      <c r="O61" s="514"/>
      <c r="P61" s="1895"/>
      <c r="Q61" s="513"/>
      <c r="R61" s="513"/>
      <c r="S61" s="529"/>
      <c r="T61" s="1979"/>
      <c r="U61" s="528"/>
      <c r="V61" s="529"/>
      <c r="W61" s="516"/>
      <c r="X61" s="516"/>
      <c r="Y61" s="516"/>
      <c r="Z61" s="516"/>
      <c r="AA61" s="516"/>
      <c r="AB61" s="516"/>
      <c r="AC61" s="516"/>
      <c r="AD61" s="516"/>
      <c r="AE61" s="516"/>
      <c r="AF61" s="516"/>
      <c r="AG61" s="516"/>
      <c r="AH61" s="516"/>
      <c r="AI61" s="516"/>
      <c r="AJ61" s="516"/>
      <c r="AK61" s="516"/>
      <c r="AL61" s="516"/>
      <c r="AM61" s="516"/>
      <c r="AN61" s="516"/>
      <c r="AO61" s="516"/>
    </row>
    <row r="62" spans="1:42" s="485" customFormat="1" ht="51" customHeight="1" x14ac:dyDescent="0.25">
      <c r="A62" s="3056"/>
      <c r="B62" s="3057"/>
      <c r="C62" s="3057"/>
      <c r="D62" s="3058"/>
      <c r="E62" s="3060"/>
      <c r="F62" s="3061"/>
      <c r="G62" s="3038">
        <v>3202017</v>
      </c>
      <c r="H62" s="3039" t="s">
        <v>484</v>
      </c>
      <c r="I62" s="2745" t="s">
        <v>485</v>
      </c>
      <c r="J62" s="3017" t="s">
        <v>486</v>
      </c>
      <c r="K62" s="3040">
        <v>1</v>
      </c>
      <c r="L62" s="2263" t="s">
        <v>487</v>
      </c>
      <c r="M62" s="2852" t="s">
        <v>488</v>
      </c>
      <c r="N62" s="2745" t="s">
        <v>489</v>
      </c>
      <c r="O62" s="3048">
        <f>+(T62+T63+T64+T65+T66+T67)/P62</f>
        <v>1</v>
      </c>
      <c r="P62" s="2984">
        <v>80000000</v>
      </c>
      <c r="Q62" s="2397" t="s">
        <v>490</v>
      </c>
      <c r="R62" s="3041" t="s">
        <v>491</v>
      </c>
      <c r="S62" s="2430" t="s">
        <v>492</v>
      </c>
      <c r="T62" s="1967">
        <v>25466667</v>
      </c>
      <c r="U62" s="1696">
        <v>20</v>
      </c>
      <c r="V62" s="1651" t="s">
        <v>70</v>
      </c>
      <c r="W62" s="2530">
        <v>252568</v>
      </c>
      <c r="X62" s="2530">
        <v>243650</v>
      </c>
      <c r="Y62" s="2530">
        <v>97896</v>
      </c>
      <c r="Z62" s="2530">
        <v>53351</v>
      </c>
      <c r="AA62" s="2530">
        <v>140316</v>
      </c>
      <c r="AB62" s="2530">
        <v>30825</v>
      </c>
      <c r="AC62" s="2530">
        <v>0</v>
      </c>
      <c r="AD62" s="2530">
        <v>0</v>
      </c>
      <c r="AE62" s="2530">
        <v>0</v>
      </c>
      <c r="AF62" s="2530">
        <v>0</v>
      </c>
      <c r="AG62" s="2530">
        <v>0</v>
      </c>
      <c r="AH62" s="2530">
        <v>0</v>
      </c>
      <c r="AI62" s="2530">
        <v>0</v>
      </c>
      <c r="AJ62" s="2530">
        <v>0</v>
      </c>
      <c r="AK62" s="2530">
        <v>0</v>
      </c>
      <c r="AL62" s="2530">
        <v>496218</v>
      </c>
      <c r="AM62" s="3050">
        <v>43832</v>
      </c>
      <c r="AN62" s="3050">
        <v>44195</v>
      </c>
      <c r="AO62" s="3053" t="s">
        <v>337</v>
      </c>
    </row>
    <row r="63" spans="1:42" s="485" customFormat="1" ht="51" customHeight="1" x14ac:dyDescent="0.25">
      <c r="A63" s="3056"/>
      <c r="B63" s="3057"/>
      <c r="C63" s="3057"/>
      <c r="D63" s="3059"/>
      <c r="E63" s="2989"/>
      <c r="F63" s="3062"/>
      <c r="G63" s="3038"/>
      <c r="H63" s="3039"/>
      <c r="I63" s="2745"/>
      <c r="J63" s="3017"/>
      <c r="K63" s="3040"/>
      <c r="L63" s="2263"/>
      <c r="M63" s="2852"/>
      <c r="N63" s="2745"/>
      <c r="O63" s="3049"/>
      <c r="P63" s="2985"/>
      <c r="Q63" s="2398"/>
      <c r="R63" s="3042"/>
      <c r="S63" s="2442"/>
      <c r="T63" s="1981">
        <v>1284000</v>
      </c>
      <c r="U63" s="492">
        <v>88</v>
      </c>
      <c r="V63" s="1651" t="s">
        <v>339</v>
      </c>
      <c r="W63" s="2531"/>
      <c r="X63" s="2531"/>
      <c r="Y63" s="2531"/>
      <c r="Z63" s="2531"/>
      <c r="AA63" s="2531"/>
      <c r="AB63" s="2531"/>
      <c r="AC63" s="2531"/>
      <c r="AD63" s="2531"/>
      <c r="AE63" s="2531"/>
      <c r="AF63" s="2531"/>
      <c r="AG63" s="2531"/>
      <c r="AH63" s="2531"/>
      <c r="AI63" s="2531"/>
      <c r="AJ63" s="2531"/>
      <c r="AK63" s="2531"/>
      <c r="AL63" s="2531"/>
      <c r="AM63" s="3051"/>
      <c r="AN63" s="3051"/>
      <c r="AO63" s="3054"/>
    </row>
    <row r="64" spans="1:42" s="485" customFormat="1" ht="51" customHeight="1" x14ac:dyDescent="0.25">
      <c r="A64" s="3056"/>
      <c r="B64" s="3057"/>
      <c r="C64" s="3057"/>
      <c r="D64" s="3059"/>
      <c r="E64" s="2989"/>
      <c r="F64" s="3062"/>
      <c r="G64" s="3038"/>
      <c r="H64" s="3039"/>
      <c r="I64" s="2745"/>
      <c r="J64" s="3017"/>
      <c r="K64" s="3040"/>
      <c r="L64" s="2263"/>
      <c r="M64" s="2852"/>
      <c r="N64" s="2745"/>
      <c r="O64" s="3049"/>
      <c r="P64" s="2985"/>
      <c r="Q64" s="2398"/>
      <c r="R64" s="3042"/>
      <c r="S64" s="505" t="s">
        <v>493</v>
      </c>
      <c r="T64" s="1981">
        <v>29533333</v>
      </c>
      <c r="U64" s="1696">
        <v>20</v>
      </c>
      <c r="V64" s="1651" t="s">
        <v>70</v>
      </c>
      <c r="W64" s="2531"/>
      <c r="X64" s="2531"/>
      <c r="Y64" s="2531"/>
      <c r="Z64" s="2531"/>
      <c r="AA64" s="2531"/>
      <c r="AB64" s="2531"/>
      <c r="AC64" s="2531"/>
      <c r="AD64" s="2531"/>
      <c r="AE64" s="2531"/>
      <c r="AF64" s="2531"/>
      <c r="AG64" s="2531"/>
      <c r="AH64" s="2531"/>
      <c r="AI64" s="2531"/>
      <c r="AJ64" s="2531"/>
      <c r="AK64" s="2531"/>
      <c r="AL64" s="2531"/>
      <c r="AM64" s="3051"/>
      <c r="AN64" s="3051"/>
      <c r="AO64" s="3054"/>
    </row>
    <row r="65" spans="1:41" s="485" customFormat="1" ht="51" customHeight="1" x14ac:dyDescent="0.25">
      <c r="A65" s="3056"/>
      <c r="B65" s="3057"/>
      <c r="C65" s="3057"/>
      <c r="D65" s="3059"/>
      <c r="E65" s="2989"/>
      <c r="F65" s="3062"/>
      <c r="G65" s="3038"/>
      <c r="H65" s="3039"/>
      <c r="I65" s="2745"/>
      <c r="J65" s="3017"/>
      <c r="K65" s="3040"/>
      <c r="L65" s="2263"/>
      <c r="M65" s="2852"/>
      <c r="N65" s="2745"/>
      <c r="O65" s="3049"/>
      <c r="P65" s="2985"/>
      <c r="Q65" s="2398"/>
      <c r="R65" s="3042"/>
      <c r="S65" s="505" t="s">
        <v>494</v>
      </c>
      <c r="T65" s="1981">
        <v>23716000</v>
      </c>
      <c r="U65" s="492">
        <v>88</v>
      </c>
      <c r="V65" s="1651" t="s">
        <v>339</v>
      </c>
      <c r="W65" s="2531"/>
      <c r="X65" s="2531"/>
      <c r="Y65" s="2531"/>
      <c r="Z65" s="2531"/>
      <c r="AA65" s="2531"/>
      <c r="AB65" s="2531"/>
      <c r="AC65" s="2531"/>
      <c r="AD65" s="2531"/>
      <c r="AE65" s="2531"/>
      <c r="AF65" s="2531"/>
      <c r="AG65" s="2531"/>
      <c r="AH65" s="2531"/>
      <c r="AI65" s="2531"/>
      <c r="AJ65" s="2531"/>
      <c r="AK65" s="2531"/>
      <c r="AL65" s="2531"/>
      <c r="AM65" s="3051"/>
      <c r="AN65" s="3051"/>
      <c r="AO65" s="3054"/>
    </row>
    <row r="66" spans="1:41" s="485" customFormat="1" ht="51" customHeight="1" x14ac:dyDescent="0.25">
      <c r="A66" s="3056"/>
      <c r="B66" s="3057"/>
      <c r="C66" s="3057"/>
      <c r="D66" s="3059"/>
      <c r="E66" s="2989"/>
      <c r="F66" s="3062"/>
      <c r="G66" s="3063"/>
      <c r="H66" s="3039"/>
      <c r="I66" s="2745"/>
      <c r="J66" s="3017"/>
      <c r="K66" s="3040"/>
      <c r="L66" s="2263"/>
      <c r="M66" s="2852"/>
      <c r="N66" s="2745"/>
      <c r="O66" s="3049"/>
      <c r="P66" s="2985"/>
      <c r="Q66" s="2398"/>
      <c r="R66" s="3042"/>
      <c r="S66" s="2267" t="s">
        <v>495</v>
      </c>
      <c r="T66" s="1967">
        <v>0</v>
      </c>
      <c r="U66" s="1696">
        <v>20</v>
      </c>
      <c r="V66" s="1651" t="s">
        <v>70</v>
      </c>
      <c r="W66" s="2531"/>
      <c r="X66" s="2531"/>
      <c r="Y66" s="2531"/>
      <c r="Z66" s="2531"/>
      <c r="AA66" s="2531"/>
      <c r="AB66" s="2531"/>
      <c r="AC66" s="2531"/>
      <c r="AD66" s="2531"/>
      <c r="AE66" s="2531"/>
      <c r="AF66" s="2531"/>
      <c r="AG66" s="2531"/>
      <c r="AH66" s="2531"/>
      <c r="AI66" s="2531"/>
      <c r="AJ66" s="2531"/>
      <c r="AK66" s="2531"/>
      <c r="AL66" s="2531"/>
      <c r="AM66" s="3051"/>
      <c r="AN66" s="3051"/>
      <c r="AO66" s="3054"/>
    </row>
    <row r="67" spans="1:41" s="485" customFormat="1" ht="51" customHeight="1" x14ac:dyDescent="0.25">
      <c r="A67" s="3056"/>
      <c r="B67" s="3057"/>
      <c r="C67" s="3057"/>
      <c r="D67" s="3059"/>
      <c r="E67" s="2989"/>
      <c r="F67" s="3062"/>
      <c r="G67" s="3063"/>
      <c r="H67" s="3039"/>
      <c r="I67" s="2745"/>
      <c r="J67" s="3017"/>
      <c r="K67" s="3040"/>
      <c r="L67" s="2263"/>
      <c r="M67" s="2852"/>
      <c r="N67" s="2745"/>
      <c r="O67" s="3049"/>
      <c r="P67" s="2985"/>
      <c r="Q67" s="2819"/>
      <c r="R67" s="3043"/>
      <c r="S67" s="2430"/>
      <c r="T67" s="1981">
        <v>0</v>
      </c>
      <c r="U67" s="492">
        <v>88</v>
      </c>
      <c r="V67" s="1651" t="s">
        <v>339</v>
      </c>
      <c r="W67" s="2532"/>
      <c r="X67" s="2532"/>
      <c r="Y67" s="2532"/>
      <c r="Z67" s="2532"/>
      <c r="AA67" s="2532"/>
      <c r="AB67" s="2532"/>
      <c r="AC67" s="2532"/>
      <c r="AD67" s="2532"/>
      <c r="AE67" s="2532"/>
      <c r="AF67" s="2532"/>
      <c r="AG67" s="2532"/>
      <c r="AH67" s="2532"/>
      <c r="AI67" s="2532"/>
      <c r="AJ67" s="2532"/>
      <c r="AK67" s="2532"/>
      <c r="AL67" s="2532"/>
      <c r="AM67" s="3052"/>
      <c r="AN67" s="3052"/>
      <c r="AO67" s="3055"/>
    </row>
    <row r="68" spans="1:41" s="485" customFormat="1" ht="43.5" customHeight="1" x14ac:dyDescent="0.25">
      <c r="A68" s="532"/>
      <c r="B68" s="533"/>
      <c r="C68" s="533"/>
      <c r="D68" s="580"/>
      <c r="E68" s="581"/>
      <c r="F68" s="582"/>
      <c r="G68" s="3038">
        <v>3202037</v>
      </c>
      <c r="H68" s="3039" t="s">
        <v>496</v>
      </c>
      <c r="I68" s="2745" t="s">
        <v>497</v>
      </c>
      <c r="J68" s="2258" t="s">
        <v>498</v>
      </c>
      <c r="K68" s="3040">
        <v>30</v>
      </c>
      <c r="L68" s="2263" t="s">
        <v>499</v>
      </c>
      <c r="M68" s="2852" t="s">
        <v>500</v>
      </c>
      <c r="N68" s="2745" t="s">
        <v>501</v>
      </c>
      <c r="O68" s="3019">
        <f>+(T68+T69)/P68</f>
        <v>0.22545649591315178</v>
      </c>
      <c r="P68" s="3027">
        <v>450049867</v>
      </c>
      <c r="Q68" s="3029" t="s">
        <v>502</v>
      </c>
      <c r="R68" s="3041" t="s">
        <v>503</v>
      </c>
      <c r="S68" s="583" t="s">
        <v>504</v>
      </c>
      <c r="T68" s="1967">
        <v>48666666</v>
      </c>
      <c r="U68" s="1696">
        <v>20</v>
      </c>
      <c r="V68" s="1651" t="s">
        <v>70</v>
      </c>
      <c r="W68" s="3021">
        <v>35373</v>
      </c>
      <c r="X68" s="3021">
        <v>33985</v>
      </c>
      <c r="Y68" s="3021">
        <v>16632</v>
      </c>
      <c r="Z68" s="3021">
        <v>3361</v>
      </c>
      <c r="AA68" s="3021">
        <v>39432</v>
      </c>
      <c r="AB68" s="3021">
        <v>9933</v>
      </c>
      <c r="AC68" s="3021">
        <v>0</v>
      </c>
      <c r="AD68" s="3021">
        <v>0</v>
      </c>
      <c r="AE68" s="3021">
        <v>0</v>
      </c>
      <c r="AF68" s="3021">
        <v>0</v>
      </c>
      <c r="AG68" s="3021">
        <v>0</v>
      </c>
      <c r="AH68" s="3021">
        <v>0</v>
      </c>
      <c r="AI68" s="3021">
        <v>0</v>
      </c>
      <c r="AJ68" s="3021">
        <v>0</v>
      </c>
      <c r="AK68" s="3021">
        <v>0</v>
      </c>
      <c r="AL68" s="3021">
        <v>69358</v>
      </c>
      <c r="AM68" s="3024">
        <v>43832</v>
      </c>
      <c r="AN68" s="3024">
        <v>44195</v>
      </c>
      <c r="AO68" s="3014" t="s">
        <v>337</v>
      </c>
    </row>
    <row r="69" spans="1:41" s="485" customFormat="1" ht="43.5" customHeight="1" x14ac:dyDescent="0.25">
      <c r="A69" s="398"/>
      <c r="B69" s="493"/>
      <c r="C69" s="493"/>
      <c r="D69" s="398"/>
      <c r="E69" s="493"/>
      <c r="F69" s="407"/>
      <c r="G69" s="3038"/>
      <c r="H69" s="3039"/>
      <c r="I69" s="2745"/>
      <c r="J69" s="2258"/>
      <c r="K69" s="3040"/>
      <c r="L69" s="2263"/>
      <c r="M69" s="2852"/>
      <c r="N69" s="2745"/>
      <c r="O69" s="3019"/>
      <c r="P69" s="3028"/>
      <c r="Q69" s="3030"/>
      <c r="R69" s="3042"/>
      <c r="S69" s="353" t="s">
        <v>366</v>
      </c>
      <c r="T69" s="1982">
        <v>52800000</v>
      </c>
      <c r="U69" s="584">
        <v>88</v>
      </c>
      <c r="V69" s="1651" t="s">
        <v>339</v>
      </c>
      <c r="W69" s="3022"/>
      <c r="X69" s="3022"/>
      <c r="Y69" s="3022"/>
      <c r="Z69" s="3022"/>
      <c r="AA69" s="3022"/>
      <c r="AB69" s="3022"/>
      <c r="AC69" s="3022"/>
      <c r="AD69" s="3022"/>
      <c r="AE69" s="3022"/>
      <c r="AF69" s="3022"/>
      <c r="AG69" s="3022"/>
      <c r="AH69" s="3022"/>
      <c r="AI69" s="3022"/>
      <c r="AJ69" s="3022"/>
      <c r="AK69" s="3022"/>
      <c r="AL69" s="3022"/>
      <c r="AM69" s="3025"/>
      <c r="AN69" s="3025"/>
      <c r="AO69" s="3014"/>
    </row>
    <row r="70" spans="1:41" s="485" customFormat="1" ht="69.75" customHeight="1" x14ac:dyDescent="0.25">
      <c r="A70" s="398"/>
      <c r="B70" s="493"/>
      <c r="C70" s="493"/>
      <c r="D70" s="398"/>
      <c r="E70" s="493"/>
      <c r="F70" s="407"/>
      <c r="G70" s="3015" t="s">
        <v>52</v>
      </c>
      <c r="H70" s="3016" t="s">
        <v>505</v>
      </c>
      <c r="I70" s="2745" t="s">
        <v>506</v>
      </c>
      <c r="J70" s="3017" t="s">
        <v>507</v>
      </c>
      <c r="K70" s="3018">
        <v>20</v>
      </c>
      <c r="L70" s="2263"/>
      <c r="M70" s="2852"/>
      <c r="N70" s="2745"/>
      <c r="O70" s="3019">
        <f>+(T70+T71+T72+T73+T74)/P68</f>
        <v>0.77454350408684824</v>
      </c>
      <c r="P70" s="3028"/>
      <c r="Q70" s="3030"/>
      <c r="R70" s="3042"/>
      <c r="S70" s="503" t="s">
        <v>508</v>
      </c>
      <c r="T70" s="1983">
        <v>97200000</v>
      </c>
      <c r="U70" s="584">
        <v>88</v>
      </c>
      <c r="V70" s="1651" t="s">
        <v>339</v>
      </c>
      <c r="W70" s="3022"/>
      <c r="X70" s="3022"/>
      <c r="Y70" s="3022"/>
      <c r="Z70" s="3022"/>
      <c r="AA70" s="3022"/>
      <c r="AB70" s="3022"/>
      <c r="AC70" s="3022"/>
      <c r="AD70" s="3022"/>
      <c r="AE70" s="3022"/>
      <c r="AF70" s="3022"/>
      <c r="AG70" s="3022"/>
      <c r="AH70" s="3022"/>
      <c r="AI70" s="3022"/>
      <c r="AJ70" s="3022"/>
      <c r="AK70" s="3022"/>
      <c r="AL70" s="3022"/>
      <c r="AM70" s="3025"/>
      <c r="AN70" s="3025"/>
      <c r="AO70" s="3014"/>
    </row>
    <row r="71" spans="1:41" s="485" customFormat="1" ht="72" customHeight="1" x14ac:dyDescent="0.25">
      <c r="A71" s="398"/>
      <c r="B71" s="493"/>
      <c r="C71" s="493"/>
      <c r="D71" s="398"/>
      <c r="E71" s="493"/>
      <c r="F71" s="407"/>
      <c r="G71" s="3015"/>
      <c r="H71" s="3016"/>
      <c r="I71" s="2745"/>
      <c r="J71" s="3017"/>
      <c r="K71" s="3018"/>
      <c r="L71" s="2263"/>
      <c r="M71" s="2852"/>
      <c r="N71" s="2745"/>
      <c r="O71" s="3019"/>
      <c r="P71" s="3028"/>
      <c r="Q71" s="3030"/>
      <c r="R71" s="3042"/>
      <c r="S71" s="503" t="s">
        <v>509</v>
      </c>
      <c r="T71" s="1983">
        <v>15000000</v>
      </c>
      <c r="U71" s="584">
        <v>88</v>
      </c>
      <c r="V71" s="1651" t="s">
        <v>339</v>
      </c>
      <c r="W71" s="3022"/>
      <c r="X71" s="3022"/>
      <c r="Y71" s="3022"/>
      <c r="Z71" s="3022"/>
      <c r="AA71" s="3022"/>
      <c r="AB71" s="3022"/>
      <c r="AC71" s="3022"/>
      <c r="AD71" s="3022"/>
      <c r="AE71" s="3022"/>
      <c r="AF71" s="3022"/>
      <c r="AG71" s="3022"/>
      <c r="AH71" s="3022"/>
      <c r="AI71" s="3022"/>
      <c r="AJ71" s="3022"/>
      <c r="AK71" s="3022"/>
      <c r="AL71" s="3022"/>
      <c r="AM71" s="3025"/>
      <c r="AN71" s="3025"/>
      <c r="AO71" s="3014"/>
    </row>
    <row r="72" spans="1:41" s="485" customFormat="1" ht="43.5" customHeight="1" x14ac:dyDescent="0.25">
      <c r="A72" s="398"/>
      <c r="B72" s="493"/>
      <c r="C72" s="493"/>
      <c r="D72" s="398"/>
      <c r="E72" s="493"/>
      <c r="F72" s="407"/>
      <c r="G72" s="3015"/>
      <c r="H72" s="3016"/>
      <c r="I72" s="2745"/>
      <c r="J72" s="3017"/>
      <c r="K72" s="3018"/>
      <c r="L72" s="2263"/>
      <c r="M72" s="2852"/>
      <c r="N72" s="2745"/>
      <c r="O72" s="3019"/>
      <c r="P72" s="3028"/>
      <c r="Q72" s="3030"/>
      <c r="R72" s="3042"/>
      <c r="S72" s="503" t="s">
        <v>366</v>
      </c>
      <c r="T72" s="1983">
        <v>50000000</v>
      </c>
      <c r="U72" s="584">
        <v>88</v>
      </c>
      <c r="V72" s="1651" t="s">
        <v>339</v>
      </c>
      <c r="W72" s="3022"/>
      <c r="X72" s="3022"/>
      <c r="Y72" s="3022"/>
      <c r="Z72" s="3022"/>
      <c r="AA72" s="3022"/>
      <c r="AB72" s="3022"/>
      <c r="AC72" s="3022"/>
      <c r="AD72" s="3022"/>
      <c r="AE72" s="3022"/>
      <c r="AF72" s="3022"/>
      <c r="AG72" s="3022"/>
      <c r="AH72" s="3022"/>
      <c r="AI72" s="3022"/>
      <c r="AJ72" s="3022"/>
      <c r="AK72" s="3022"/>
      <c r="AL72" s="3022"/>
      <c r="AM72" s="3025"/>
      <c r="AN72" s="3025"/>
      <c r="AO72" s="3014"/>
    </row>
    <row r="73" spans="1:41" s="485" customFormat="1" ht="43.5" customHeight="1" x14ac:dyDescent="0.25">
      <c r="A73" s="398"/>
      <c r="B73" s="493"/>
      <c r="C73" s="493"/>
      <c r="D73" s="398"/>
      <c r="E73" s="493"/>
      <c r="F73" s="407"/>
      <c r="G73" s="3015"/>
      <c r="H73" s="3016"/>
      <c r="I73" s="2745"/>
      <c r="J73" s="3017"/>
      <c r="K73" s="3018"/>
      <c r="L73" s="2263"/>
      <c r="M73" s="2852"/>
      <c r="N73" s="2745"/>
      <c r="O73" s="3019"/>
      <c r="P73" s="3028"/>
      <c r="Q73" s="3030"/>
      <c r="R73" s="3042"/>
      <c r="S73" s="503" t="s">
        <v>506</v>
      </c>
      <c r="T73" s="1983">
        <v>138383201</v>
      </c>
      <c r="U73" s="584">
        <v>88</v>
      </c>
      <c r="V73" s="1651" t="s">
        <v>339</v>
      </c>
      <c r="W73" s="3022"/>
      <c r="X73" s="3022"/>
      <c r="Y73" s="3022"/>
      <c r="Z73" s="3022"/>
      <c r="AA73" s="3022"/>
      <c r="AB73" s="3022"/>
      <c r="AC73" s="3022"/>
      <c r="AD73" s="3022"/>
      <c r="AE73" s="3022"/>
      <c r="AF73" s="3022"/>
      <c r="AG73" s="3022"/>
      <c r="AH73" s="3022"/>
      <c r="AI73" s="3022"/>
      <c r="AJ73" s="3022"/>
      <c r="AK73" s="3022"/>
      <c r="AL73" s="3022"/>
      <c r="AM73" s="3025"/>
      <c r="AN73" s="3025"/>
      <c r="AO73" s="3014"/>
    </row>
    <row r="74" spans="1:41" s="485" customFormat="1" ht="43.5" customHeight="1" x14ac:dyDescent="0.25">
      <c r="A74" s="398"/>
      <c r="B74" s="493"/>
      <c r="C74" s="493"/>
      <c r="D74" s="398"/>
      <c r="E74" s="493"/>
      <c r="F74" s="407"/>
      <c r="G74" s="3015"/>
      <c r="H74" s="3016"/>
      <c r="I74" s="2745"/>
      <c r="J74" s="3017"/>
      <c r="K74" s="3018"/>
      <c r="L74" s="2263"/>
      <c r="M74" s="2852"/>
      <c r="N74" s="2745"/>
      <c r="O74" s="3020"/>
      <c r="P74" s="3028"/>
      <c r="Q74" s="3031"/>
      <c r="R74" s="3043"/>
      <c r="S74" s="585" t="s">
        <v>510</v>
      </c>
      <c r="T74" s="1984">
        <v>48000000</v>
      </c>
      <c r="U74" s="586">
        <v>88</v>
      </c>
      <c r="V74" s="1651" t="s">
        <v>339</v>
      </c>
      <c r="W74" s="3023"/>
      <c r="X74" s="3023"/>
      <c r="Y74" s="3023"/>
      <c r="Z74" s="3023"/>
      <c r="AA74" s="3023"/>
      <c r="AB74" s="3023"/>
      <c r="AC74" s="3023"/>
      <c r="AD74" s="3023"/>
      <c r="AE74" s="3023"/>
      <c r="AF74" s="3023"/>
      <c r="AG74" s="3023"/>
      <c r="AH74" s="3023"/>
      <c r="AI74" s="3023"/>
      <c r="AJ74" s="3023"/>
      <c r="AK74" s="3023"/>
      <c r="AL74" s="3023"/>
      <c r="AM74" s="3026"/>
      <c r="AN74" s="3026"/>
      <c r="AO74" s="3014"/>
    </row>
    <row r="75" spans="1:41" s="485" customFormat="1" ht="60" x14ac:dyDescent="0.25">
      <c r="A75" s="398"/>
      <c r="B75" s="493"/>
      <c r="C75" s="493"/>
      <c r="D75" s="398"/>
      <c r="E75" s="493"/>
      <c r="F75" s="407"/>
      <c r="G75" s="3044" t="s">
        <v>52</v>
      </c>
      <c r="H75" s="3046" t="s">
        <v>511</v>
      </c>
      <c r="I75" s="2752" t="s">
        <v>512</v>
      </c>
      <c r="J75" s="2398" t="s">
        <v>513</v>
      </c>
      <c r="K75" s="2811">
        <v>1</v>
      </c>
      <c r="L75" s="2261" t="s">
        <v>514</v>
      </c>
      <c r="M75" s="2417" t="s">
        <v>515</v>
      </c>
      <c r="N75" s="2419" t="s">
        <v>516</v>
      </c>
      <c r="O75" s="3032">
        <f>+(T75+T76)/P75</f>
        <v>1</v>
      </c>
      <c r="P75" s="3033">
        <v>30000000</v>
      </c>
      <c r="Q75" s="3034" t="s">
        <v>517</v>
      </c>
      <c r="R75" s="3036" t="s">
        <v>518</v>
      </c>
      <c r="S75" s="353" t="s">
        <v>519</v>
      </c>
      <c r="T75" s="1967">
        <v>15000000</v>
      </c>
      <c r="U75" s="492">
        <v>88</v>
      </c>
      <c r="V75" s="1651" t="s">
        <v>339</v>
      </c>
      <c r="W75" s="3010">
        <v>5060</v>
      </c>
      <c r="X75" s="3010">
        <v>6100</v>
      </c>
      <c r="Y75" s="3010">
        <v>2550</v>
      </c>
      <c r="Z75" s="3010">
        <v>2150</v>
      </c>
      <c r="AA75" s="3010">
        <v>5500</v>
      </c>
      <c r="AB75" s="3010">
        <v>960</v>
      </c>
      <c r="AC75" s="3010"/>
      <c r="AD75" s="3010"/>
      <c r="AE75" s="3010"/>
      <c r="AF75" s="3010"/>
      <c r="AG75" s="3010"/>
      <c r="AH75" s="3010"/>
      <c r="AI75" s="3010"/>
      <c r="AJ75" s="3010"/>
      <c r="AK75" s="3010"/>
      <c r="AL75" s="3010">
        <v>11160</v>
      </c>
      <c r="AM75" s="3012">
        <v>44033</v>
      </c>
      <c r="AN75" s="3012">
        <v>44195</v>
      </c>
      <c r="AO75" s="3007" t="s">
        <v>337</v>
      </c>
    </row>
    <row r="76" spans="1:41" s="485" customFormat="1" ht="60" x14ac:dyDescent="0.25">
      <c r="A76" s="398"/>
      <c r="B76" s="493"/>
      <c r="C76" s="493"/>
      <c r="D76" s="398"/>
      <c r="E76" s="493"/>
      <c r="F76" s="407"/>
      <c r="G76" s="3045"/>
      <c r="H76" s="3047"/>
      <c r="I76" s="2694"/>
      <c r="J76" s="2819"/>
      <c r="K76" s="3018"/>
      <c r="L76" s="2262"/>
      <c r="M76" s="2682"/>
      <c r="N76" s="2744"/>
      <c r="O76" s="3032"/>
      <c r="P76" s="3033"/>
      <c r="Q76" s="3035"/>
      <c r="R76" s="3037"/>
      <c r="S76" s="353" t="s">
        <v>520</v>
      </c>
      <c r="T76" s="1967">
        <v>15000000</v>
      </c>
      <c r="U76" s="587">
        <v>88</v>
      </c>
      <c r="V76" s="1651" t="s">
        <v>339</v>
      </c>
      <c r="W76" s="3011"/>
      <c r="X76" s="3011"/>
      <c r="Y76" s="3011"/>
      <c r="Z76" s="3011"/>
      <c r="AA76" s="3011"/>
      <c r="AB76" s="3011"/>
      <c r="AC76" s="3011"/>
      <c r="AD76" s="3011"/>
      <c r="AE76" s="3011"/>
      <c r="AF76" s="3011"/>
      <c r="AG76" s="3011"/>
      <c r="AH76" s="3011"/>
      <c r="AI76" s="3011"/>
      <c r="AJ76" s="3011"/>
      <c r="AK76" s="3011"/>
      <c r="AL76" s="3011"/>
      <c r="AM76" s="3013"/>
      <c r="AN76" s="3013"/>
      <c r="AO76" s="3008"/>
    </row>
    <row r="77" spans="1:41" s="485" customFormat="1" ht="30" customHeight="1" x14ac:dyDescent="0.25">
      <c r="A77" s="398"/>
      <c r="B77" s="493"/>
      <c r="C77" s="493"/>
      <c r="D77" s="398"/>
      <c r="E77" s="493"/>
      <c r="F77" s="407"/>
      <c r="G77" s="2680" t="s">
        <v>52</v>
      </c>
      <c r="H77" s="2416" t="s">
        <v>521</v>
      </c>
      <c r="I77" s="2693" t="s">
        <v>522</v>
      </c>
      <c r="J77" s="2285" t="s">
        <v>523</v>
      </c>
      <c r="K77" s="2196">
        <v>1</v>
      </c>
      <c r="L77" s="2260" t="s">
        <v>524</v>
      </c>
      <c r="M77" s="2190" t="s">
        <v>525</v>
      </c>
      <c r="N77" s="2693" t="s">
        <v>526</v>
      </c>
      <c r="O77" s="3009">
        <f>+(T77+T78+T79)/(90000000)</f>
        <v>0.44444444444444442</v>
      </c>
      <c r="P77" s="3006">
        <v>40000000</v>
      </c>
      <c r="Q77" s="2268" t="s">
        <v>527</v>
      </c>
      <c r="R77" s="2268" t="s">
        <v>528</v>
      </c>
      <c r="S77" s="503" t="s">
        <v>529</v>
      </c>
      <c r="T77" s="1983">
        <v>5500000</v>
      </c>
      <c r="U77" s="1696">
        <v>20</v>
      </c>
      <c r="V77" s="1651" t="s">
        <v>70</v>
      </c>
      <c r="W77" s="2531">
        <v>40906</v>
      </c>
      <c r="X77" s="2531">
        <v>37728</v>
      </c>
      <c r="Y77" s="2531">
        <v>16790</v>
      </c>
      <c r="Z77" s="2531">
        <v>8871</v>
      </c>
      <c r="AA77" s="2531">
        <v>46240</v>
      </c>
      <c r="AB77" s="3000">
        <v>10814</v>
      </c>
      <c r="AC77" s="3000">
        <v>0</v>
      </c>
      <c r="AD77" s="3000">
        <v>0</v>
      </c>
      <c r="AE77" s="3000">
        <v>0</v>
      </c>
      <c r="AF77" s="3000">
        <v>0</v>
      </c>
      <c r="AG77" s="3000">
        <v>0</v>
      </c>
      <c r="AH77" s="3000">
        <v>0</v>
      </c>
      <c r="AI77" s="3000"/>
      <c r="AJ77" s="3000"/>
      <c r="AK77" s="3000"/>
      <c r="AL77" s="3000">
        <v>78634</v>
      </c>
      <c r="AM77" s="3002">
        <v>43832</v>
      </c>
      <c r="AN77" s="3002">
        <v>44195</v>
      </c>
      <c r="AO77" s="3003" t="s">
        <v>337</v>
      </c>
    </row>
    <row r="78" spans="1:41" s="485" customFormat="1" ht="30" x14ac:dyDescent="0.25">
      <c r="A78" s="398"/>
      <c r="B78" s="493"/>
      <c r="C78" s="493"/>
      <c r="D78" s="398"/>
      <c r="E78" s="493"/>
      <c r="F78" s="407"/>
      <c r="G78" s="2681"/>
      <c r="H78" s="2417"/>
      <c r="I78" s="2752"/>
      <c r="J78" s="2286"/>
      <c r="K78" s="2197"/>
      <c r="L78" s="2261"/>
      <c r="M78" s="2191"/>
      <c r="N78" s="2752"/>
      <c r="O78" s="3009"/>
      <c r="P78" s="3006"/>
      <c r="Q78" s="2269"/>
      <c r="R78" s="2269"/>
      <c r="S78" s="501" t="s">
        <v>530</v>
      </c>
      <c r="T78" s="1973">
        <v>15000000</v>
      </c>
      <c r="U78" s="1696">
        <v>20</v>
      </c>
      <c r="V78" s="1651" t="s">
        <v>70</v>
      </c>
      <c r="W78" s="2531"/>
      <c r="X78" s="2531"/>
      <c r="Y78" s="2531"/>
      <c r="Z78" s="2531"/>
      <c r="AA78" s="2531"/>
      <c r="AB78" s="2215"/>
      <c r="AC78" s="2215"/>
      <c r="AD78" s="2215"/>
      <c r="AE78" s="2215"/>
      <c r="AF78" s="2215"/>
      <c r="AG78" s="2215"/>
      <c r="AH78" s="2215"/>
      <c r="AI78" s="2215"/>
      <c r="AJ78" s="2215"/>
      <c r="AK78" s="2215"/>
      <c r="AL78" s="2215"/>
      <c r="AM78" s="2973"/>
      <c r="AN78" s="2973"/>
      <c r="AO78" s="2976"/>
    </row>
    <row r="79" spans="1:41" s="485" customFormat="1" ht="60" x14ac:dyDescent="0.25">
      <c r="A79" s="398"/>
      <c r="B79" s="493"/>
      <c r="C79" s="493"/>
      <c r="D79" s="415"/>
      <c r="E79" s="416"/>
      <c r="F79" s="417"/>
      <c r="G79" s="2769"/>
      <c r="H79" s="2682"/>
      <c r="I79" s="2694"/>
      <c r="J79" s="2313"/>
      <c r="K79" s="2811"/>
      <c r="L79" s="2262"/>
      <c r="M79" s="2257"/>
      <c r="N79" s="2694"/>
      <c r="O79" s="2997"/>
      <c r="P79" s="2999"/>
      <c r="Q79" s="2270"/>
      <c r="R79" s="2270"/>
      <c r="S79" s="501" t="s">
        <v>531</v>
      </c>
      <c r="T79" s="1973">
        <v>19500000</v>
      </c>
      <c r="U79" s="492">
        <v>88</v>
      </c>
      <c r="V79" s="1651" t="s">
        <v>339</v>
      </c>
      <c r="W79" s="2532"/>
      <c r="X79" s="2532"/>
      <c r="Y79" s="2532"/>
      <c r="Z79" s="2532"/>
      <c r="AA79" s="2532"/>
      <c r="AB79" s="3001"/>
      <c r="AC79" s="3001"/>
      <c r="AD79" s="3001"/>
      <c r="AE79" s="3001"/>
      <c r="AF79" s="3001"/>
      <c r="AG79" s="3001"/>
      <c r="AH79" s="3001"/>
      <c r="AI79" s="3001">
        <v>0</v>
      </c>
      <c r="AJ79" s="3001">
        <v>0</v>
      </c>
      <c r="AK79" s="3001">
        <v>0</v>
      </c>
      <c r="AL79" s="3001"/>
      <c r="AM79" s="2974">
        <v>43832</v>
      </c>
      <c r="AN79" s="2974">
        <v>44195</v>
      </c>
      <c r="AO79" s="2977" t="s">
        <v>337</v>
      </c>
    </row>
    <row r="80" spans="1:41" s="485" customFormat="1" ht="15.75" x14ac:dyDescent="0.25">
      <c r="A80" s="2978"/>
      <c r="B80" s="2979"/>
      <c r="C80" s="2980"/>
      <c r="D80" s="509">
        <v>22</v>
      </c>
      <c r="E80" s="510" t="s">
        <v>532</v>
      </c>
      <c r="F80" s="511"/>
      <c r="G80" s="512"/>
      <c r="H80" s="512"/>
      <c r="I80" s="513"/>
      <c r="J80" s="513"/>
      <c r="K80" s="512"/>
      <c r="L80" s="68"/>
      <c r="M80" s="512"/>
      <c r="N80" s="513"/>
      <c r="O80" s="514"/>
      <c r="P80" s="1895"/>
      <c r="Q80" s="513"/>
      <c r="R80" s="513"/>
      <c r="S80" s="513"/>
      <c r="T80" s="1974"/>
      <c r="U80" s="531"/>
      <c r="V80" s="71"/>
      <c r="W80" s="588"/>
      <c r="X80" s="588"/>
      <c r="Y80" s="588"/>
      <c r="Z80" s="588"/>
      <c r="AA80" s="588"/>
      <c r="AB80" s="588"/>
      <c r="AC80" s="588"/>
      <c r="AD80" s="588"/>
      <c r="AE80" s="588"/>
      <c r="AF80" s="588"/>
      <c r="AG80" s="588"/>
      <c r="AH80" s="588"/>
      <c r="AI80" s="588"/>
      <c r="AJ80" s="588"/>
      <c r="AK80" s="588"/>
      <c r="AL80" s="588"/>
      <c r="AM80" s="588"/>
      <c r="AN80" s="588"/>
      <c r="AO80" s="588"/>
    </row>
    <row r="81" spans="1:43" s="485" customFormat="1" ht="60" x14ac:dyDescent="0.25">
      <c r="A81" s="398"/>
      <c r="B81" s="493"/>
      <c r="C81" s="407"/>
      <c r="D81" s="427"/>
      <c r="E81" s="427"/>
      <c r="F81" s="428"/>
      <c r="G81" s="3004">
        <v>3204012</v>
      </c>
      <c r="H81" s="3004" t="s">
        <v>533</v>
      </c>
      <c r="I81" s="2693" t="s">
        <v>534</v>
      </c>
      <c r="J81" s="2397" t="s">
        <v>535</v>
      </c>
      <c r="K81" s="2196">
        <v>1</v>
      </c>
      <c r="L81" s="2260" t="s">
        <v>536</v>
      </c>
      <c r="M81" s="2416" t="s">
        <v>537</v>
      </c>
      <c r="N81" s="2693" t="s">
        <v>538</v>
      </c>
      <c r="O81" s="2996">
        <f>+(T81+T82)/(P81)</f>
        <v>1</v>
      </c>
      <c r="P81" s="2998">
        <v>26000000</v>
      </c>
      <c r="Q81" s="2268" t="s">
        <v>539</v>
      </c>
      <c r="R81" s="2268" t="s">
        <v>540</v>
      </c>
      <c r="S81" s="501" t="s">
        <v>541</v>
      </c>
      <c r="T81" s="1973">
        <v>15000000</v>
      </c>
      <c r="U81" s="492">
        <v>88</v>
      </c>
      <c r="V81" s="1651" t="s">
        <v>339</v>
      </c>
      <c r="W81" s="2294">
        <v>250</v>
      </c>
      <c r="X81" s="2294">
        <v>250</v>
      </c>
      <c r="Y81" s="2294">
        <v>100</v>
      </c>
      <c r="Z81" s="2294">
        <v>100</v>
      </c>
      <c r="AA81" s="2294">
        <v>200</v>
      </c>
      <c r="AB81" s="2294">
        <v>100</v>
      </c>
      <c r="AC81" s="2294"/>
      <c r="AD81" s="2294"/>
      <c r="AE81" s="2294"/>
      <c r="AF81" s="2294"/>
      <c r="AG81" s="2294"/>
      <c r="AH81" s="2294"/>
      <c r="AI81" s="2294"/>
      <c r="AJ81" s="2294"/>
      <c r="AK81" s="2294"/>
      <c r="AL81" s="2294">
        <v>500</v>
      </c>
      <c r="AM81" s="2972">
        <v>44033</v>
      </c>
      <c r="AN81" s="2972">
        <v>44195</v>
      </c>
      <c r="AO81" s="2975" t="s">
        <v>337</v>
      </c>
    </row>
    <row r="82" spans="1:43" s="485" customFormat="1" ht="213" customHeight="1" x14ac:dyDescent="0.25">
      <c r="A82" s="398"/>
      <c r="B82" s="493"/>
      <c r="C82" s="407"/>
      <c r="D82" s="493"/>
      <c r="E82" s="493"/>
      <c r="F82" s="407"/>
      <c r="G82" s="3005"/>
      <c r="H82" s="3005"/>
      <c r="I82" s="2694"/>
      <c r="J82" s="2819"/>
      <c r="K82" s="2811"/>
      <c r="L82" s="2262"/>
      <c r="M82" s="2682"/>
      <c r="N82" s="2694"/>
      <c r="O82" s="2997"/>
      <c r="P82" s="2999"/>
      <c r="Q82" s="2270"/>
      <c r="R82" s="2270"/>
      <c r="S82" s="501" t="s">
        <v>542</v>
      </c>
      <c r="T82" s="1973">
        <v>11000000</v>
      </c>
      <c r="U82" s="492">
        <v>88</v>
      </c>
      <c r="V82" s="1651" t="s">
        <v>339</v>
      </c>
      <c r="W82" s="2296"/>
      <c r="X82" s="2296"/>
      <c r="Y82" s="2296"/>
      <c r="Z82" s="2296"/>
      <c r="AA82" s="2296"/>
      <c r="AB82" s="2296"/>
      <c r="AC82" s="2296"/>
      <c r="AD82" s="2296"/>
      <c r="AE82" s="2296"/>
      <c r="AF82" s="2296"/>
      <c r="AG82" s="2296"/>
      <c r="AH82" s="2296"/>
      <c r="AI82" s="2296"/>
      <c r="AJ82" s="2296"/>
      <c r="AK82" s="2296"/>
      <c r="AL82" s="2296"/>
      <c r="AM82" s="2974"/>
      <c r="AN82" s="2974"/>
      <c r="AO82" s="2977"/>
    </row>
    <row r="83" spans="1:43" s="485" customFormat="1" ht="15.75" x14ac:dyDescent="0.25">
      <c r="A83" s="2978"/>
      <c r="B83" s="2979"/>
      <c r="C83" s="2980"/>
      <c r="D83" s="509">
        <v>23</v>
      </c>
      <c r="E83" s="510" t="s">
        <v>543</v>
      </c>
      <c r="F83" s="511"/>
      <c r="G83" s="512"/>
      <c r="H83" s="512"/>
      <c r="I83" s="513"/>
      <c r="J83" s="513"/>
      <c r="K83" s="512"/>
      <c r="L83" s="68"/>
      <c r="M83" s="512"/>
      <c r="N83" s="513"/>
      <c r="O83" s="514"/>
      <c r="P83" s="1895"/>
      <c r="Q83" s="513"/>
      <c r="R83" s="513"/>
      <c r="S83" s="513"/>
      <c r="T83" s="1974"/>
      <c r="U83" s="516"/>
      <c r="V83" s="513"/>
      <c r="W83" s="516"/>
      <c r="X83" s="516"/>
      <c r="Y83" s="516"/>
      <c r="Z83" s="516"/>
      <c r="AA83" s="516"/>
      <c r="AB83" s="516"/>
      <c r="AC83" s="516"/>
      <c r="AD83" s="516"/>
      <c r="AE83" s="516"/>
      <c r="AF83" s="516"/>
      <c r="AG83" s="516"/>
      <c r="AH83" s="516"/>
      <c r="AI83" s="516"/>
      <c r="AJ83" s="516"/>
      <c r="AK83" s="516"/>
      <c r="AL83" s="516"/>
      <c r="AM83" s="516"/>
      <c r="AN83" s="516"/>
      <c r="AO83" s="516"/>
    </row>
    <row r="84" spans="1:43" s="485" customFormat="1" ht="94.5" customHeight="1" x14ac:dyDescent="0.25">
      <c r="A84" s="532"/>
      <c r="B84" s="533"/>
      <c r="C84" s="534"/>
      <c r="D84" s="2987"/>
      <c r="E84" s="2989"/>
      <c r="F84" s="2991"/>
      <c r="G84" s="2993">
        <v>3205010</v>
      </c>
      <c r="H84" s="2993" t="s">
        <v>544</v>
      </c>
      <c r="I84" s="2397" t="s">
        <v>545</v>
      </c>
      <c r="J84" s="2397" t="s">
        <v>546</v>
      </c>
      <c r="K84" s="2849">
        <v>1</v>
      </c>
      <c r="L84" s="2920" t="s">
        <v>524</v>
      </c>
      <c r="M84" s="2601" t="s">
        <v>525</v>
      </c>
      <c r="N84" s="2397" t="s">
        <v>526</v>
      </c>
      <c r="O84" s="2533">
        <f>+(T84+T85+T86)/(90000000)</f>
        <v>0.55555555555555558</v>
      </c>
      <c r="P84" s="2984">
        <v>50000000</v>
      </c>
      <c r="Q84" s="2982" t="s">
        <v>527</v>
      </c>
      <c r="R84" s="2982" t="s">
        <v>528</v>
      </c>
      <c r="S84" s="589" t="s">
        <v>547</v>
      </c>
      <c r="T84" s="1973">
        <v>20000000</v>
      </c>
      <c r="U84" s="535">
        <v>88</v>
      </c>
      <c r="V84" s="1651" t="s">
        <v>339</v>
      </c>
      <c r="W84" s="2849">
        <v>40906</v>
      </c>
      <c r="X84" s="2849">
        <v>37728</v>
      </c>
      <c r="Y84" s="2849">
        <v>16790</v>
      </c>
      <c r="Z84" s="2849">
        <v>8871</v>
      </c>
      <c r="AA84" s="2849">
        <v>46240</v>
      </c>
      <c r="AB84" s="2849">
        <v>10814</v>
      </c>
      <c r="AC84" s="2849">
        <v>0</v>
      </c>
      <c r="AD84" s="2849">
        <v>0</v>
      </c>
      <c r="AE84" s="2849">
        <v>0</v>
      </c>
      <c r="AF84" s="2849">
        <v>0</v>
      </c>
      <c r="AG84" s="2849">
        <v>0</v>
      </c>
      <c r="AH84" s="2849">
        <v>0</v>
      </c>
      <c r="AI84" s="2849">
        <v>0</v>
      </c>
      <c r="AJ84" s="2849">
        <v>0</v>
      </c>
      <c r="AK84" s="2849">
        <v>0</v>
      </c>
      <c r="AL84" s="2849">
        <v>78634</v>
      </c>
      <c r="AM84" s="2972">
        <v>43832</v>
      </c>
      <c r="AN84" s="2972">
        <v>44195</v>
      </c>
      <c r="AO84" s="2975" t="s">
        <v>337</v>
      </c>
    </row>
    <row r="85" spans="1:43" s="485" customFormat="1" ht="46.5" customHeight="1" x14ac:dyDescent="0.25">
      <c r="A85" s="532"/>
      <c r="B85" s="533"/>
      <c r="C85" s="534"/>
      <c r="D85" s="2987"/>
      <c r="E85" s="2989"/>
      <c r="F85" s="2991"/>
      <c r="G85" s="2994"/>
      <c r="H85" s="2994"/>
      <c r="I85" s="2398"/>
      <c r="J85" s="2398"/>
      <c r="K85" s="2850"/>
      <c r="L85" s="2921"/>
      <c r="M85" s="2602"/>
      <c r="N85" s="2398"/>
      <c r="O85" s="2534"/>
      <c r="P85" s="2985"/>
      <c r="Q85" s="2878"/>
      <c r="R85" s="2878"/>
      <c r="S85" s="2693" t="s">
        <v>548</v>
      </c>
      <c r="T85" s="1973">
        <v>15000000</v>
      </c>
      <c r="U85" s="1696">
        <v>20</v>
      </c>
      <c r="V85" s="1651" t="s">
        <v>70</v>
      </c>
      <c r="W85" s="2850"/>
      <c r="X85" s="2850"/>
      <c r="Y85" s="2850"/>
      <c r="Z85" s="2850"/>
      <c r="AA85" s="2850"/>
      <c r="AB85" s="2850"/>
      <c r="AC85" s="2850"/>
      <c r="AD85" s="2850"/>
      <c r="AE85" s="2850"/>
      <c r="AF85" s="2850"/>
      <c r="AG85" s="2850"/>
      <c r="AH85" s="2850"/>
      <c r="AI85" s="2850"/>
      <c r="AJ85" s="2850"/>
      <c r="AK85" s="2850"/>
      <c r="AL85" s="2850"/>
      <c r="AM85" s="2973"/>
      <c r="AN85" s="2973"/>
      <c r="AO85" s="2976"/>
    </row>
    <row r="86" spans="1:43" s="485" customFormat="1" ht="46.5" customHeight="1" x14ac:dyDescent="0.25">
      <c r="A86" s="517"/>
      <c r="B86" s="518"/>
      <c r="C86" s="519"/>
      <c r="D86" s="2988"/>
      <c r="E86" s="2990"/>
      <c r="F86" s="2992"/>
      <c r="G86" s="2995"/>
      <c r="H86" s="2995"/>
      <c r="I86" s="2819"/>
      <c r="J86" s="2819"/>
      <c r="K86" s="2851"/>
      <c r="L86" s="2983"/>
      <c r="M86" s="2603"/>
      <c r="N86" s="2819"/>
      <c r="O86" s="2535"/>
      <c r="P86" s="2986"/>
      <c r="Q86" s="2879"/>
      <c r="R86" s="2879"/>
      <c r="S86" s="2694"/>
      <c r="T86" s="1973">
        <v>15000000</v>
      </c>
      <c r="U86" s="1696">
        <v>20</v>
      </c>
      <c r="V86" s="1651" t="s">
        <v>70</v>
      </c>
      <c r="W86" s="2851"/>
      <c r="X86" s="2851"/>
      <c r="Y86" s="2851"/>
      <c r="Z86" s="2851"/>
      <c r="AA86" s="2851"/>
      <c r="AB86" s="2851"/>
      <c r="AC86" s="2851"/>
      <c r="AD86" s="2851"/>
      <c r="AE86" s="2851"/>
      <c r="AF86" s="2851"/>
      <c r="AG86" s="2851"/>
      <c r="AH86" s="2851"/>
      <c r="AI86" s="2851"/>
      <c r="AJ86" s="2851"/>
      <c r="AK86" s="2851"/>
      <c r="AL86" s="2851"/>
      <c r="AM86" s="2974"/>
      <c r="AN86" s="2974"/>
      <c r="AO86" s="2977"/>
    </row>
    <row r="87" spans="1:43" s="485" customFormat="1" ht="15.75" x14ac:dyDescent="0.25">
      <c r="A87" s="2978"/>
      <c r="B87" s="2979"/>
      <c r="C87" s="2980"/>
      <c r="D87" s="509">
        <v>24</v>
      </c>
      <c r="E87" s="510" t="s">
        <v>549</v>
      </c>
      <c r="F87" s="511"/>
      <c r="G87" s="512"/>
      <c r="H87" s="512"/>
      <c r="I87" s="513"/>
      <c r="J87" s="513"/>
      <c r="K87" s="512"/>
      <c r="L87" s="68"/>
      <c r="M87" s="512"/>
      <c r="N87" s="513"/>
      <c r="O87" s="514"/>
      <c r="P87" s="1895"/>
      <c r="Q87" s="513"/>
      <c r="R87" s="513"/>
      <c r="S87" s="513"/>
      <c r="T87" s="1974"/>
      <c r="U87" s="516"/>
      <c r="V87" s="513"/>
      <c r="W87" s="516"/>
      <c r="X87" s="516"/>
      <c r="Y87" s="516"/>
      <c r="Z87" s="516"/>
      <c r="AA87" s="516"/>
      <c r="AB87" s="516"/>
      <c r="AC87" s="516"/>
      <c r="AD87" s="516"/>
      <c r="AE87" s="516"/>
      <c r="AF87" s="516"/>
      <c r="AG87" s="516"/>
      <c r="AH87" s="516"/>
      <c r="AI87" s="516"/>
      <c r="AJ87" s="516"/>
      <c r="AK87" s="516"/>
      <c r="AL87" s="516"/>
      <c r="AM87" s="516"/>
      <c r="AN87" s="516"/>
      <c r="AO87" s="516"/>
    </row>
    <row r="88" spans="1:43" s="485" customFormat="1" ht="105" x14ac:dyDescent="0.25">
      <c r="A88" s="398"/>
      <c r="B88" s="493"/>
      <c r="C88" s="407"/>
      <c r="D88" s="401"/>
      <c r="E88" s="401"/>
      <c r="F88" s="402"/>
      <c r="G88" s="506">
        <v>3206014</v>
      </c>
      <c r="H88" s="506" t="s">
        <v>550</v>
      </c>
      <c r="I88" s="501" t="s">
        <v>551</v>
      </c>
      <c r="J88" s="357" t="s">
        <v>552</v>
      </c>
      <c r="K88" s="335">
        <v>50</v>
      </c>
      <c r="L88" s="1664" t="s">
        <v>553</v>
      </c>
      <c r="M88" s="590" t="s">
        <v>554</v>
      </c>
      <c r="N88" s="501" t="s">
        <v>555</v>
      </c>
      <c r="O88" s="530">
        <f>+T88/P88</f>
        <v>1</v>
      </c>
      <c r="P88" s="1901">
        <v>20000000</v>
      </c>
      <c r="Q88" s="348" t="s">
        <v>556</v>
      </c>
      <c r="R88" s="348" t="s">
        <v>557</v>
      </c>
      <c r="S88" s="501" t="s">
        <v>558</v>
      </c>
      <c r="T88" s="1973">
        <v>20000000</v>
      </c>
      <c r="U88" s="535">
        <v>88</v>
      </c>
      <c r="V88" s="1651" t="s">
        <v>339</v>
      </c>
      <c r="W88" s="535">
        <v>285580</v>
      </c>
      <c r="X88" s="535">
        <v>285580</v>
      </c>
      <c r="Y88" s="535">
        <v>135545</v>
      </c>
      <c r="Z88" s="535">
        <v>44254</v>
      </c>
      <c r="AA88" s="535">
        <v>309146</v>
      </c>
      <c r="AB88" s="535">
        <v>92607</v>
      </c>
      <c r="AC88" s="535"/>
      <c r="AD88" s="535"/>
      <c r="AE88" s="535"/>
      <c r="AF88" s="535"/>
      <c r="AG88" s="535"/>
      <c r="AH88" s="535"/>
      <c r="AI88" s="535"/>
      <c r="AJ88" s="535"/>
      <c r="AK88" s="535"/>
      <c r="AL88" s="535">
        <v>581552</v>
      </c>
      <c r="AM88" s="526">
        <v>44033</v>
      </c>
      <c r="AN88" s="526">
        <v>44195</v>
      </c>
      <c r="AO88" s="591" t="s">
        <v>337</v>
      </c>
      <c r="AP88" s="592"/>
    </row>
    <row r="89" spans="1:43" s="485" customFormat="1" ht="45.75" customHeight="1" x14ac:dyDescent="0.25">
      <c r="A89" s="593"/>
      <c r="B89" s="134"/>
      <c r="C89" s="135"/>
      <c r="D89" s="594"/>
      <c r="E89" s="594"/>
      <c r="F89" s="595"/>
      <c r="G89" s="596"/>
      <c r="H89" s="596"/>
      <c r="I89" s="356"/>
      <c r="J89" s="356"/>
      <c r="K89" s="137"/>
      <c r="L89" s="356"/>
      <c r="M89" s="137"/>
      <c r="N89" s="356"/>
      <c r="O89" s="597"/>
      <c r="P89" s="598">
        <f>SUM(P11:P88)</f>
        <v>1704396659.97</v>
      </c>
      <c r="Q89" s="356"/>
      <c r="R89" s="356"/>
      <c r="S89" s="356"/>
      <c r="T89" s="1985">
        <f>SUM(T11:T88)</f>
        <v>1704396659.97</v>
      </c>
      <c r="U89" s="525"/>
      <c r="V89" s="599"/>
      <c r="W89" s="600"/>
      <c r="X89" s="600"/>
      <c r="Y89" s="600"/>
      <c r="Z89" s="600"/>
      <c r="AA89" s="600"/>
      <c r="AB89" s="600"/>
      <c r="AC89" s="600"/>
      <c r="AD89" s="600"/>
      <c r="AE89" s="600"/>
      <c r="AF89" s="600"/>
      <c r="AG89" s="600"/>
      <c r="AH89" s="600"/>
      <c r="AI89" s="600"/>
      <c r="AJ89" s="600"/>
      <c r="AK89" s="600"/>
      <c r="AL89" s="600"/>
      <c r="AM89" s="601"/>
      <c r="AN89" s="602"/>
      <c r="AO89" s="603"/>
    </row>
    <row r="90" spans="1:43" x14ac:dyDescent="0.2">
      <c r="P90" s="606"/>
      <c r="Q90" s="607"/>
      <c r="R90" s="607"/>
      <c r="S90" s="607"/>
      <c r="T90" s="608"/>
      <c r="V90" s="605"/>
      <c r="AM90" s="609"/>
      <c r="AN90" s="609"/>
      <c r="AO90" s="609"/>
    </row>
    <row r="91" spans="1:43" x14ac:dyDescent="0.2">
      <c r="O91" s="610"/>
      <c r="P91" s="611"/>
      <c r="Q91" s="612"/>
      <c r="R91" s="612"/>
      <c r="S91" s="613"/>
      <c r="T91" s="614"/>
      <c r="U91" s="609"/>
      <c r="V91" s="615"/>
      <c r="AM91" s="609"/>
      <c r="AN91" s="609"/>
      <c r="AO91" s="609"/>
      <c r="AP91" s="609"/>
      <c r="AQ91" s="609"/>
    </row>
    <row r="92" spans="1:43" ht="15.75" x14ac:dyDescent="0.2">
      <c r="B92" s="616"/>
      <c r="C92" s="616"/>
      <c r="D92" s="616"/>
      <c r="E92" s="616"/>
      <c r="F92" s="616"/>
      <c r="G92" s="617"/>
      <c r="H92" s="618"/>
      <c r="O92" s="619"/>
      <c r="P92" s="620"/>
      <c r="Q92" s="612"/>
      <c r="R92" s="612"/>
      <c r="S92" s="619"/>
      <c r="T92" s="621"/>
      <c r="U92" s="609"/>
      <c r="V92" s="615"/>
      <c r="W92" s="622"/>
      <c r="AM92" s="609"/>
      <c r="AN92" s="609"/>
      <c r="AO92" s="609"/>
      <c r="AP92" s="609"/>
      <c r="AQ92" s="609"/>
    </row>
    <row r="93" spans="1:43" x14ac:dyDescent="0.2">
      <c r="B93" s="2981" t="s">
        <v>559</v>
      </c>
      <c r="C93" s="2981"/>
      <c r="D93" s="2981"/>
      <c r="E93" s="2981"/>
      <c r="F93" s="2981"/>
      <c r="O93" s="610"/>
      <c r="P93" s="610"/>
      <c r="Q93" s="612"/>
      <c r="R93" s="612"/>
      <c r="S93" s="612"/>
      <c r="T93" s="610"/>
      <c r="U93" s="622"/>
      <c r="V93" s="622"/>
      <c r="AM93" s="609"/>
      <c r="AN93" s="609"/>
      <c r="AO93" s="609"/>
    </row>
    <row r="94" spans="1:43" ht="12.75" customHeight="1" x14ac:dyDescent="0.2">
      <c r="B94" s="623" t="s">
        <v>560</v>
      </c>
      <c r="C94" s="623"/>
      <c r="D94" s="623"/>
      <c r="E94" s="623"/>
      <c r="F94" s="623"/>
      <c r="G94" s="624"/>
      <c r="H94" s="624"/>
      <c r="I94" s="612"/>
      <c r="O94" s="610"/>
      <c r="P94" s="610"/>
      <c r="Q94" s="612"/>
      <c r="R94" s="612"/>
      <c r="S94" s="612"/>
      <c r="T94" s="625"/>
      <c r="U94" s="626"/>
      <c r="V94" s="626"/>
      <c r="AM94" s="609"/>
      <c r="AN94" s="609"/>
      <c r="AO94" s="609"/>
    </row>
    <row r="95" spans="1:43" x14ac:dyDescent="0.2">
      <c r="B95" s="627"/>
      <c r="C95" s="628"/>
      <c r="D95" s="629"/>
      <c r="E95" s="630"/>
      <c r="F95" s="620"/>
      <c r="G95" s="624"/>
      <c r="H95" s="624"/>
      <c r="I95" s="612"/>
      <c r="O95" s="610"/>
      <c r="P95" s="631"/>
      <c r="Q95" s="612"/>
      <c r="R95" s="612"/>
      <c r="S95" s="612"/>
      <c r="T95" s="610"/>
      <c r="U95" s="622"/>
      <c r="V95" s="622"/>
      <c r="AM95" s="609"/>
      <c r="AN95" s="609"/>
      <c r="AO95" s="609"/>
    </row>
    <row r="101" spans="8:8" x14ac:dyDescent="0.2">
      <c r="H101" s="604">
        <v>4</v>
      </c>
    </row>
  </sheetData>
  <sheetProtection password="A60F" sheet="1" objects="1" scenarios="1"/>
  <mergeCells count="647">
    <mergeCell ref="I7:I8"/>
    <mergeCell ref="J7:J8"/>
    <mergeCell ref="L7:L8"/>
    <mergeCell ref="M7:M8"/>
    <mergeCell ref="N7:N8"/>
    <mergeCell ref="O7:O8"/>
    <mergeCell ref="A1:AC4"/>
    <mergeCell ref="A5:K5"/>
    <mergeCell ref="L5:V5"/>
    <mergeCell ref="W5:AO5"/>
    <mergeCell ref="W6:AL6"/>
    <mergeCell ref="A7:A8"/>
    <mergeCell ref="B7:C8"/>
    <mergeCell ref="D7:D8"/>
    <mergeCell ref="E7:F8"/>
    <mergeCell ref="G7:G8"/>
    <mergeCell ref="K7:K8"/>
    <mergeCell ref="D11:D12"/>
    <mergeCell ref="E11:F13"/>
    <mergeCell ref="G11:G12"/>
    <mergeCell ref="H11:H12"/>
    <mergeCell ref="I11:I12"/>
    <mergeCell ref="J11:J12"/>
    <mergeCell ref="AN7:AN8"/>
    <mergeCell ref="AO7:AO8"/>
    <mergeCell ref="A10:C10"/>
    <mergeCell ref="E10:M10"/>
    <mergeCell ref="W7:X7"/>
    <mergeCell ref="Y7:AB7"/>
    <mergeCell ref="AC7:AH7"/>
    <mergeCell ref="AI7:AK7"/>
    <mergeCell ref="AL7:AL8"/>
    <mergeCell ref="AM7:AM8"/>
    <mergeCell ref="P7:P8"/>
    <mergeCell ref="Q7:Q8"/>
    <mergeCell ref="R7:R8"/>
    <mergeCell ref="S7:S8"/>
    <mergeCell ref="U7:U8"/>
    <mergeCell ref="V7:V8"/>
    <mergeCell ref="W11:W13"/>
    <mergeCell ref="X11:X13"/>
    <mergeCell ref="Y11:Y13"/>
    <mergeCell ref="Z11:Z13"/>
    <mergeCell ref="K11:K12"/>
    <mergeCell ref="L11:L13"/>
    <mergeCell ref="M11:M13"/>
    <mergeCell ref="N11:N13"/>
    <mergeCell ref="O11:O12"/>
    <mergeCell ref="P11:P13"/>
    <mergeCell ref="AM11:AM13"/>
    <mergeCell ref="AN11:AN13"/>
    <mergeCell ref="AO11:AO13"/>
    <mergeCell ref="G14:G18"/>
    <mergeCell ref="H14:H18"/>
    <mergeCell ref="I14:I18"/>
    <mergeCell ref="J14:J18"/>
    <mergeCell ref="K14:K18"/>
    <mergeCell ref="L14:L18"/>
    <mergeCell ref="M14:M18"/>
    <mergeCell ref="AG11:AG13"/>
    <mergeCell ref="AH11:AH13"/>
    <mergeCell ref="AI11:AI13"/>
    <mergeCell ref="AJ11:AJ13"/>
    <mergeCell ref="AK11:AK13"/>
    <mergeCell ref="AL11:AL13"/>
    <mergeCell ref="AA11:AA13"/>
    <mergeCell ref="AB11:AB13"/>
    <mergeCell ref="AC11:AC13"/>
    <mergeCell ref="AD11:AD13"/>
    <mergeCell ref="AE11:AE13"/>
    <mergeCell ref="AF11:AF13"/>
    <mergeCell ref="Q11:Q13"/>
    <mergeCell ref="R11:R13"/>
    <mergeCell ref="AH14:AH18"/>
    <mergeCell ref="W14:W18"/>
    <mergeCell ref="X14:X18"/>
    <mergeCell ref="Y14:Y18"/>
    <mergeCell ref="Z14:Z18"/>
    <mergeCell ref="AA14:AA18"/>
    <mergeCell ref="AB14:AB18"/>
    <mergeCell ref="N14:N18"/>
    <mergeCell ref="O14:O18"/>
    <mergeCell ref="P14:P18"/>
    <mergeCell ref="Q14:Q18"/>
    <mergeCell ref="R14:R18"/>
    <mergeCell ref="S14:S15"/>
    <mergeCell ref="R19:R24"/>
    <mergeCell ref="W19:W24"/>
    <mergeCell ref="X19:X24"/>
    <mergeCell ref="AO14:AO18"/>
    <mergeCell ref="S17:S18"/>
    <mergeCell ref="G19:G24"/>
    <mergeCell ref="H19:H21"/>
    <mergeCell ref="I19:I24"/>
    <mergeCell ref="J19:J21"/>
    <mergeCell ref="K19:K21"/>
    <mergeCell ref="L19:L24"/>
    <mergeCell ref="M19:M24"/>
    <mergeCell ref="N19:N24"/>
    <mergeCell ref="AI14:AI18"/>
    <mergeCell ref="AJ14:AJ18"/>
    <mergeCell ref="AK14:AK18"/>
    <mergeCell ref="AL14:AL18"/>
    <mergeCell ref="AM14:AM18"/>
    <mergeCell ref="AN14:AN18"/>
    <mergeCell ref="AC14:AC18"/>
    <mergeCell ref="AD14:AD18"/>
    <mergeCell ref="AE14:AE18"/>
    <mergeCell ref="AF14:AF18"/>
    <mergeCell ref="AG14:AG18"/>
    <mergeCell ref="AK19:AK24"/>
    <mergeCell ref="AL19:AL24"/>
    <mergeCell ref="AM19:AM24"/>
    <mergeCell ref="AN19:AN24"/>
    <mergeCell ref="AO19:AO24"/>
    <mergeCell ref="H22:H24"/>
    <mergeCell ref="J22:J24"/>
    <mergeCell ref="K22:K24"/>
    <mergeCell ref="O22:O24"/>
    <mergeCell ref="AE19:AE24"/>
    <mergeCell ref="AF19:AF24"/>
    <mergeCell ref="AG19:AG24"/>
    <mergeCell ref="AH19:AH24"/>
    <mergeCell ref="AI19:AI24"/>
    <mergeCell ref="AJ19:AJ24"/>
    <mergeCell ref="Y19:Y24"/>
    <mergeCell ref="Z19:Z24"/>
    <mergeCell ref="AA19:AA24"/>
    <mergeCell ref="AB19:AB24"/>
    <mergeCell ref="AC19:AC24"/>
    <mergeCell ref="AD19:AD24"/>
    <mergeCell ref="O19:O21"/>
    <mergeCell ref="P19:P24"/>
    <mergeCell ref="Q19:Q24"/>
    <mergeCell ref="Y25:Y26"/>
    <mergeCell ref="Z25:Z26"/>
    <mergeCell ref="AA25:AA26"/>
    <mergeCell ref="AB25:AB26"/>
    <mergeCell ref="L25:L26"/>
    <mergeCell ref="M25:M26"/>
    <mergeCell ref="N25:N26"/>
    <mergeCell ref="P25:P26"/>
    <mergeCell ref="Q25:Q26"/>
    <mergeCell ref="R25:R26"/>
    <mergeCell ref="AO25:AO26"/>
    <mergeCell ref="L27:L29"/>
    <mergeCell ref="M27:M29"/>
    <mergeCell ref="N27:N29"/>
    <mergeCell ref="P27:P29"/>
    <mergeCell ref="Q27:Q29"/>
    <mergeCell ref="R27:R29"/>
    <mergeCell ref="W27:W29"/>
    <mergeCell ref="X27:X29"/>
    <mergeCell ref="Y27:Y29"/>
    <mergeCell ref="AI25:AI26"/>
    <mergeCell ref="AJ25:AJ26"/>
    <mergeCell ref="AK25:AK26"/>
    <mergeCell ref="AL25:AL26"/>
    <mergeCell ref="AM25:AM26"/>
    <mergeCell ref="AN25:AN26"/>
    <mergeCell ref="AC25:AC26"/>
    <mergeCell ref="AD25:AD26"/>
    <mergeCell ref="AE25:AE26"/>
    <mergeCell ref="AF25:AF26"/>
    <mergeCell ref="AG25:AG26"/>
    <mergeCell ref="AH25:AH26"/>
    <mergeCell ref="W25:W26"/>
    <mergeCell ref="X25:X26"/>
    <mergeCell ref="AL27:AL29"/>
    <mergeCell ref="AM27:AM29"/>
    <mergeCell ref="AN27:AN29"/>
    <mergeCell ref="AO27:AO29"/>
    <mergeCell ref="G30:G31"/>
    <mergeCell ref="H30:H31"/>
    <mergeCell ref="I30:I31"/>
    <mergeCell ref="J30:J31"/>
    <mergeCell ref="K30:K31"/>
    <mergeCell ref="L30:L31"/>
    <mergeCell ref="AF27:AF29"/>
    <mergeCell ref="AG27:AG29"/>
    <mergeCell ref="AH27:AH29"/>
    <mergeCell ref="AI27:AI29"/>
    <mergeCell ref="AJ27:AJ29"/>
    <mergeCell ref="AK27:AK29"/>
    <mergeCell ref="Z27:Z29"/>
    <mergeCell ref="AA27:AA29"/>
    <mergeCell ref="AB27:AB29"/>
    <mergeCell ref="AC27:AC29"/>
    <mergeCell ref="AD27:AD29"/>
    <mergeCell ref="AE27:AE29"/>
    <mergeCell ref="AF30:AF31"/>
    <mergeCell ref="AG30:AG31"/>
    <mergeCell ref="S30:S31"/>
    <mergeCell ref="W30:W31"/>
    <mergeCell ref="X30:X31"/>
    <mergeCell ref="Y30:Y31"/>
    <mergeCell ref="Z30:Z31"/>
    <mergeCell ref="AA30:AA31"/>
    <mergeCell ref="M30:M31"/>
    <mergeCell ref="N30:N31"/>
    <mergeCell ref="O30:O31"/>
    <mergeCell ref="P30:P31"/>
    <mergeCell ref="Q30:Q31"/>
    <mergeCell ref="R30:R31"/>
    <mergeCell ref="X35:X36"/>
    <mergeCell ref="Y35:Y36"/>
    <mergeCell ref="Z35:Z36"/>
    <mergeCell ref="AA35:AA36"/>
    <mergeCell ref="AN30:AN31"/>
    <mergeCell ref="AO30:AO31"/>
    <mergeCell ref="A32:C32"/>
    <mergeCell ref="A34:C34"/>
    <mergeCell ref="L35:L36"/>
    <mergeCell ref="M35:M36"/>
    <mergeCell ref="N35:N36"/>
    <mergeCell ref="P35:P36"/>
    <mergeCell ref="Q35:Q36"/>
    <mergeCell ref="AH30:AH31"/>
    <mergeCell ref="AI30:AI31"/>
    <mergeCell ref="AJ30:AJ31"/>
    <mergeCell ref="AK30:AK31"/>
    <mergeCell ref="AL30:AL31"/>
    <mergeCell ref="AM30:AM31"/>
    <mergeCell ref="AB30:AB31"/>
    <mergeCell ref="AC30:AC31"/>
    <mergeCell ref="AD30:AD31"/>
    <mergeCell ref="AE30:AE31"/>
    <mergeCell ref="AN35:AN36"/>
    <mergeCell ref="AO35:AO36"/>
    <mergeCell ref="A37:C37"/>
    <mergeCell ref="D38:F40"/>
    <mergeCell ref="G38:G40"/>
    <mergeCell ref="H38:H40"/>
    <mergeCell ref="I38:I40"/>
    <mergeCell ref="J38:J40"/>
    <mergeCell ref="K38:K40"/>
    <mergeCell ref="L38:L40"/>
    <mergeCell ref="AH35:AH36"/>
    <mergeCell ref="AI35:AI36"/>
    <mergeCell ref="AJ35:AJ36"/>
    <mergeCell ref="AK35:AK36"/>
    <mergeCell ref="AL35:AL36"/>
    <mergeCell ref="AM35:AM36"/>
    <mergeCell ref="AB35:AB36"/>
    <mergeCell ref="AC35:AC36"/>
    <mergeCell ref="AD35:AD36"/>
    <mergeCell ref="AE35:AE36"/>
    <mergeCell ref="AF35:AF36"/>
    <mergeCell ref="AG35:AG36"/>
    <mergeCell ref="R35:R36"/>
    <mergeCell ref="W35:W36"/>
    <mergeCell ref="Y38:Y40"/>
    <mergeCell ref="Z38:Z40"/>
    <mergeCell ref="AA38:AA40"/>
    <mergeCell ref="AB38:AB40"/>
    <mergeCell ref="M38:M40"/>
    <mergeCell ref="N38:N40"/>
    <mergeCell ref="O38:O40"/>
    <mergeCell ref="P38:P40"/>
    <mergeCell ref="Q38:Q40"/>
    <mergeCell ref="R38:R40"/>
    <mergeCell ref="AO38:AO40"/>
    <mergeCell ref="S39:S40"/>
    <mergeCell ref="A41:C41"/>
    <mergeCell ref="D42:D44"/>
    <mergeCell ref="E42:E44"/>
    <mergeCell ref="F42:F44"/>
    <mergeCell ref="G42:G44"/>
    <mergeCell ref="H42:H44"/>
    <mergeCell ref="I42:I44"/>
    <mergeCell ref="J42:J44"/>
    <mergeCell ref="AI38:AI40"/>
    <mergeCell ref="AJ38:AJ40"/>
    <mergeCell ref="AK38:AK40"/>
    <mergeCell ref="AL38:AL40"/>
    <mergeCell ref="AM38:AM40"/>
    <mergeCell ref="AN38:AN40"/>
    <mergeCell ref="AC38:AC40"/>
    <mergeCell ref="AD38:AD40"/>
    <mergeCell ref="AE38:AE40"/>
    <mergeCell ref="AF38:AF40"/>
    <mergeCell ref="AG38:AG40"/>
    <mergeCell ref="AH38:AH40"/>
    <mergeCell ref="W38:W40"/>
    <mergeCell ref="X38:X40"/>
    <mergeCell ref="S42:S43"/>
    <mergeCell ref="W42:W44"/>
    <mergeCell ref="X42:X44"/>
    <mergeCell ref="Y42:Y44"/>
    <mergeCell ref="K42:K44"/>
    <mergeCell ref="L42:L44"/>
    <mergeCell ref="M42:M44"/>
    <mergeCell ref="N42:N44"/>
    <mergeCell ref="O42:O44"/>
    <mergeCell ref="P42:P44"/>
    <mergeCell ref="AL42:AL44"/>
    <mergeCell ref="AM42:AM44"/>
    <mergeCell ref="AN42:AN44"/>
    <mergeCell ref="AO42:AO44"/>
    <mergeCell ref="A45:C45"/>
    <mergeCell ref="L46:L47"/>
    <mergeCell ref="M46:M47"/>
    <mergeCell ref="N46:N47"/>
    <mergeCell ref="P46:P47"/>
    <mergeCell ref="Q46:Q47"/>
    <mergeCell ref="AF42:AF44"/>
    <mergeCell ref="AG42:AG44"/>
    <mergeCell ref="AH42:AH44"/>
    <mergeCell ref="AI42:AI44"/>
    <mergeCell ref="AJ42:AJ44"/>
    <mergeCell ref="AK42:AK44"/>
    <mergeCell ref="Z42:Z44"/>
    <mergeCell ref="AA42:AA44"/>
    <mergeCell ref="AB42:AB44"/>
    <mergeCell ref="AC42:AC44"/>
    <mergeCell ref="AD42:AD44"/>
    <mergeCell ref="AE42:AE44"/>
    <mergeCell ref="Q42:Q44"/>
    <mergeCell ref="R42:R44"/>
    <mergeCell ref="A48:C48"/>
    <mergeCell ref="E48:K48"/>
    <mergeCell ref="L49:L51"/>
    <mergeCell ref="M49:M51"/>
    <mergeCell ref="N49:N51"/>
    <mergeCell ref="P49:P51"/>
    <mergeCell ref="Q49:Q51"/>
    <mergeCell ref="R49:R51"/>
    <mergeCell ref="AH46:AH47"/>
    <mergeCell ref="AB46:AB47"/>
    <mergeCell ref="AC46:AC47"/>
    <mergeCell ref="AD46:AD47"/>
    <mergeCell ref="AE46:AE47"/>
    <mergeCell ref="AF46:AF47"/>
    <mergeCell ref="AG46:AG47"/>
    <mergeCell ref="R46:R47"/>
    <mergeCell ref="W46:W47"/>
    <mergeCell ref="X46:X47"/>
    <mergeCell ref="Y46:Y47"/>
    <mergeCell ref="Z46:Z47"/>
    <mergeCell ref="AA46:AA47"/>
    <mergeCell ref="AH49:AH51"/>
    <mergeCell ref="W49:W51"/>
    <mergeCell ref="X49:X51"/>
    <mergeCell ref="Y49:Y51"/>
    <mergeCell ref="Z49:Z51"/>
    <mergeCell ref="AA49:AA51"/>
    <mergeCell ref="AB49:AB51"/>
    <mergeCell ref="AN46:AN47"/>
    <mergeCell ref="AO46:AO47"/>
    <mergeCell ref="AI46:AI47"/>
    <mergeCell ref="AJ46:AJ47"/>
    <mergeCell ref="AK46:AK47"/>
    <mergeCell ref="AL46:AL47"/>
    <mergeCell ref="AM46:AM47"/>
    <mergeCell ref="A52:C52"/>
    <mergeCell ref="D53:D56"/>
    <mergeCell ref="E53:E56"/>
    <mergeCell ref="F53:F56"/>
    <mergeCell ref="G53:G55"/>
    <mergeCell ref="H53:H55"/>
    <mergeCell ref="AO49:AO51"/>
    <mergeCell ref="G50:G51"/>
    <mergeCell ref="H50:H51"/>
    <mergeCell ref="I50:I51"/>
    <mergeCell ref="J50:J51"/>
    <mergeCell ref="K50:K51"/>
    <mergeCell ref="O50:O51"/>
    <mergeCell ref="AI49:AI51"/>
    <mergeCell ref="AJ49:AJ51"/>
    <mergeCell ref="AK49:AK51"/>
    <mergeCell ref="AL49:AL51"/>
    <mergeCell ref="AM49:AM51"/>
    <mergeCell ref="AN49:AN51"/>
    <mergeCell ref="AC49:AC51"/>
    <mergeCell ref="AD49:AD51"/>
    <mergeCell ref="AE49:AE51"/>
    <mergeCell ref="AF49:AF51"/>
    <mergeCell ref="AG49:AG51"/>
    <mergeCell ref="AN53:AN56"/>
    <mergeCell ref="AO53:AO56"/>
    <mergeCell ref="S54:S55"/>
    <mergeCell ref="AE53:AE56"/>
    <mergeCell ref="AF53:AF56"/>
    <mergeCell ref="AG53:AG56"/>
    <mergeCell ref="AH53:AH56"/>
    <mergeCell ref="AI53:AI56"/>
    <mergeCell ref="AJ53:AJ56"/>
    <mergeCell ref="Y53:Y56"/>
    <mergeCell ref="Z53:Z56"/>
    <mergeCell ref="AA53:AA56"/>
    <mergeCell ref="AB53:AB56"/>
    <mergeCell ref="AC53:AC56"/>
    <mergeCell ref="AD53:AD56"/>
    <mergeCell ref="W53:W56"/>
    <mergeCell ref="X53:X56"/>
    <mergeCell ref="A58:C58"/>
    <mergeCell ref="G59:G60"/>
    <mergeCell ref="H59:H60"/>
    <mergeCell ref="I59:I60"/>
    <mergeCell ref="J59:J60"/>
    <mergeCell ref="K59:K60"/>
    <mergeCell ref="AK53:AK56"/>
    <mergeCell ref="AL53:AL56"/>
    <mergeCell ref="AM53:AM56"/>
    <mergeCell ref="O53:O55"/>
    <mergeCell ref="P53:P56"/>
    <mergeCell ref="Q53:Q56"/>
    <mergeCell ref="R53:R56"/>
    <mergeCell ref="I53:I55"/>
    <mergeCell ref="J53:J55"/>
    <mergeCell ref="K53:K55"/>
    <mergeCell ref="L53:L56"/>
    <mergeCell ref="M53:M56"/>
    <mergeCell ref="N53:N56"/>
    <mergeCell ref="X59:X60"/>
    <mergeCell ref="Y59:Y60"/>
    <mergeCell ref="Z59:Z60"/>
    <mergeCell ref="AA59:AA60"/>
    <mergeCell ref="L59:L60"/>
    <mergeCell ref="M59:M60"/>
    <mergeCell ref="N59:N60"/>
    <mergeCell ref="O59:O60"/>
    <mergeCell ref="P59:P60"/>
    <mergeCell ref="Q59:Q60"/>
    <mergeCell ref="AN59:AN60"/>
    <mergeCell ref="AO59:AO60"/>
    <mergeCell ref="A61:C61"/>
    <mergeCell ref="A62:A67"/>
    <mergeCell ref="B62:C67"/>
    <mergeCell ref="D62:D67"/>
    <mergeCell ref="E62:F67"/>
    <mergeCell ref="G62:G67"/>
    <mergeCell ref="H62:H67"/>
    <mergeCell ref="I62:I67"/>
    <mergeCell ref="AH59:AH60"/>
    <mergeCell ref="AI59:AI60"/>
    <mergeCell ref="AJ59:AJ60"/>
    <mergeCell ref="AK59:AK60"/>
    <mergeCell ref="AL59:AL60"/>
    <mergeCell ref="AM59:AM60"/>
    <mergeCell ref="AB59:AB60"/>
    <mergeCell ref="AC59:AC60"/>
    <mergeCell ref="AD59:AD60"/>
    <mergeCell ref="R59:R60"/>
    <mergeCell ref="W59:W60"/>
    <mergeCell ref="AN62:AN67"/>
    <mergeCell ref="AO62:AO67"/>
    <mergeCell ref="S66:S67"/>
    <mergeCell ref="AE62:AE67"/>
    <mergeCell ref="AF62:AF67"/>
    <mergeCell ref="AG62:AG67"/>
    <mergeCell ref="AH62:AH67"/>
    <mergeCell ref="AI62:AI67"/>
    <mergeCell ref="AJ62:AJ67"/>
    <mergeCell ref="Y62:Y67"/>
    <mergeCell ref="Z62:Z67"/>
    <mergeCell ref="AA62:AA67"/>
    <mergeCell ref="AB62:AB67"/>
    <mergeCell ref="AC62:AC67"/>
    <mergeCell ref="AD62:AD67"/>
    <mergeCell ref="S62:S63"/>
    <mergeCell ref="W62:W67"/>
    <mergeCell ref="X62:X67"/>
    <mergeCell ref="AK62:AK67"/>
    <mergeCell ref="AL62:AL67"/>
    <mergeCell ref="AM62:AM67"/>
    <mergeCell ref="AH68:AH74"/>
    <mergeCell ref="W68:W74"/>
    <mergeCell ref="X68:X74"/>
    <mergeCell ref="Y68:Y74"/>
    <mergeCell ref="Z68:Z74"/>
    <mergeCell ref="AA68:AA74"/>
    <mergeCell ref="AE59:AE60"/>
    <mergeCell ref="AF59:AF60"/>
    <mergeCell ref="AG59:AG60"/>
    <mergeCell ref="P62:P67"/>
    <mergeCell ref="Q62:Q67"/>
    <mergeCell ref="R62:R67"/>
    <mergeCell ref="J62:J67"/>
    <mergeCell ref="K62:K67"/>
    <mergeCell ref="L62:L67"/>
    <mergeCell ref="M62:M67"/>
    <mergeCell ref="N62:N67"/>
    <mergeCell ref="O62:O67"/>
    <mergeCell ref="AA75:AA76"/>
    <mergeCell ref="AB75:AB76"/>
    <mergeCell ref="M75:M76"/>
    <mergeCell ref="N75:N76"/>
    <mergeCell ref="O75:O76"/>
    <mergeCell ref="P75:P76"/>
    <mergeCell ref="Q75:Q76"/>
    <mergeCell ref="R75:R76"/>
    <mergeCell ref="G68:G69"/>
    <mergeCell ref="H68:H69"/>
    <mergeCell ref="I68:I69"/>
    <mergeCell ref="J68:J69"/>
    <mergeCell ref="K68:K69"/>
    <mergeCell ref="L68:L74"/>
    <mergeCell ref="R68:R74"/>
    <mergeCell ref="G75:G76"/>
    <mergeCell ref="H75:H76"/>
    <mergeCell ref="I75:I76"/>
    <mergeCell ref="J75:J76"/>
    <mergeCell ref="K75:K76"/>
    <mergeCell ref="L75:L76"/>
    <mergeCell ref="Y75:Y76"/>
    <mergeCell ref="Z75:Z76"/>
    <mergeCell ref="AO68:AO74"/>
    <mergeCell ref="G70:G74"/>
    <mergeCell ref="H70:H74"/>
    <mergeCell ref="I70:I74"/>
    <mergeCell ref="J70:J74"/>
    <mergeCell ref="K70:K74"/>
    <mergeCell ref="O70:O74"/>
    <mergeCell ref="AI68:AI74"/>
    <mergeCell ref="AJ68:AJ74"/>
    <mergeCell ref="AK68:AK74"/>
    <mergeCell ref="AL68:AL74"/>
    <mergeCell ref="AM68:AM74"/>
    <mergeCell ref="AN68:AN74"/>
    <mergeCell ref="AC68:AC74"/>
    <mergeCell ref="AD68:AD74"/>
    <mergeCell ref="AE68:AE74"/>
    <mergeCell ref="AF68:AF74"/>
    <mergeCell ref="AG68:AG74"/>
    <mergeCell ref="AB68:AB74"/>
    <mergeCell ref="M68:M74"/>
    <mergeCell ref="N68:N74"/>
    <mergeCell ref="O68:O69"/>
    <mergeCell ref="P68:P74"/>
    <mergeCell ref="Q68:Q74"/>
    <mergeCell ref="AO75:AO76"/>
    <mergeCell ref="G77:G79"/>
    <mergeCell ref="H77:H79"/>
    <mergeCell ref="I77:I79"/>
    <mergeCell ref="J77:J79"/>
    <mergeCell ref="K77:K79"/>
    <mergeCell ref="L77:L79"/>
    <mergeCell ref="M77:M79"/>
    <mergeCell ref="N77:N79"/>
    <mergeCell ref="O77:O79"/>
    <mergeCell ref="AI75:AI76"/>
    <mergeCell ref="AJ75:AJ76"/>
    <mergeCell ref="AK75:AK76"/>
    <mergeCell ref="AL75:AL76"/>
    <mergeCell ref="AM75:AM76"/>
    <mergeCell ref="AN75:AN76"/>
    <mergeCell ref="AC75:AC76"/>
    <mergeCell ref="AD75:AD76"/>
    <mergeCell ref="AE75:AE76"/>
    <mergeCell ref="AF75:AF76"/>
    <mergeCell ref="AG75:AG76"/>
    <mergeCell ref="AH75:AH76"/>
    <mergeCell ref="W75:W76"/>
    <mergeCell ref="X75:X76"/>
    <mergeCell ref="AO77:AO79"/>
    <mergeCell ref="A80:C80"/>
    <mergeCell ref="G81:G82"/>
    <mergeCell ref="H81:H82"/>
    <mergeCell ref="I81:I82"/>
    <mergeCell ref="J81:J82"/>
    <mergeCell ref="K81:K82"/>
    <mergeCell ref="AF77:AF79"/>
    <mergeCell ref="AG77:AG79"/>
    <mergeCell ref="AH77:AH79"/>
    <mergeCell ref="AI77:AI79"/>
    <mergeCell ref="AJ77:AJ79"/>
    <mergeCell ref="AK77:AK79"/>
    <mergeCell ref="Z77:Z79"/>
    <mergeCell ref="AA77:AA79"/>
    <mergeCell ref="AB77:AB79"/>
    <mergeCell ref="AC77:AC79"/>
    <mergeCell ref="AD77:AD79"/>
    <mergeCell ref="AE77:AE79"/>
    <mergeCell ref="P77:P79"/>
    <mergeCell ref="Q77:Q79"/>
    <mergeCell ref="R77:R79"/>
    <mergeCell ref="W77:W79"/>
    <mergeCell ref="X77:X79"/>
    <mergeCell ref="L81:L82"/>
    <mergeCell ref="M81:M82"/>
    <mergeCell ref="N81:N82"/>
    <mergeCell ref="O81:O82"/>
    <mergeCell ref="P81:P82"/>
    <mergeCell ref="Q81:Q82"/>
    <mergeCell ref="AL77:AL79"/>
    <mergeCell ref="AM77:AM79"/>
    <mergeCell ref="AN77:AN79"/>
    <mergeCell ref="Y77:Y79"/>
    <mergeCell ref="AD81:AD82"/>
    <mergeCell ref="AE81:AE82"/>
    <mergeCell ref="AF81:AF82"/>
    <mergeCell ref="AG81:AG82"/>
    <mergeCell ref="R81:R82"/>
    <mergeCell ref="W81:W82"/>
    <mergeCell ref="X81:X82"/>
    <mergeCell ref="Y81:Y82"/>
    <mergeCell ref="Z81:Z82"/>
    <mergeCell ref="AA81:AA82"/>
    <mergeCell ref="K84:K86"/>
    <mergeCell ref="L84:L86"/>
    <mergeCell ref="M84:M86"/>
    <mergeCell ref="N84:N86"/>
    <mergeCell ref="O84:O86"/>
    <mergeCell ref="P84:P86"/>
    <mergeCell ref="AN81:AN82"/>
    <mergeCell ref="AO81:AO82"/>
    <mergeCell ref="A83:C83"/>
    <mergeCell ref="D84:D86"/>
    <mergeCell ref="E84:E86"/>
    <mergeCell ref="F84:F86"/>
    <mergeCell ref="G84:G86"/>
    <mergeCell ref="H84:H86"/>
    <mergeCell ref="I84:I86"/>
    <mergeCell ref="J84:J86"/>
    <mergeCell ref="AH81:AH82"/>
    <mergeCell ref="AI81:AI82"/>
    <mergeCell ref="AJ81:AJ82"/>
    <mergeCell ref="AK81:AK82"/>
    <mergeCell ref="AL81:AL82"/>
    <mergeCell ref="AM81:AM82"/>
    <mergeCell ref="AB81:AB82"/>
    <mergeCell ref="AC81:AC82"/>
    <mergeCell ref="AM84:AM86"/>
    <mergeCell ref="AN84:AN86"/>
    <mergeCell ref="AO84:AO86"/>
    <mergeCell ref="S85:S86"/>
    <mergeCell ref="A87:C87"/>
    <mergeCell ref="B93:F93"/>
    <mergeCell ref="AG84:AG86"/>
    <mergeCell ref="AH84:AH86"/>
    <mergeCell ref="AI84:AI86"/>
    <mergeCell ref="AJ84:AJ86"/>
    <mergeCell ref="AK84:AK86"/>
    <mergeCell ref="AL84:AL86"/>
    <mergeCell ref="AA84:AA86"/>
    <mergeCell ref="AB84:AB86"/>
    <mergeCell ref="AC84:AC86"/>
    <mergeCell ref="AD84:AD86"/>
    <mergeCell ref="AE84:AE86"/>
    <mergeCell ref="AF84:AF86"/>
    <mergeCell ref="Q84:Q86"/>
    <mergeCell ref="R84:R86"/>
    <mergeCell ref="W84:W86"/>
    <mergeCell ref="X84:X86"/>
    <mergeCell ref="Y84:Y86"/>
    <mergeCell ref="Z84:Z8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H254"/>
  <sheetViews>
    <sheetView showGridLines="0" zoomScale="60" zoomScaleNormal="60" workbookViewId="0">
      <selection activeCell="A7" sqref="A7:A9"/>
    </sheetView>
  </sheetViews>
  <sheetFormatPr baseColWidth="10" defaultColWidth="9.140625" defaultRowHeight="15" x14ac:dyDescent="0.2"/>
  <cols>
    <col min="1" max="1" width="15.5703125" style="439" customWidth="1"/>
    <col min="2" max="2" width="9.7109375" style="360" customWidth="1"/>
    <col min="3" max="3" width="10.85546875" style="360" customWidth="1"/>
    <col min="4" max="4" width="13" style="360" customWidth="1"/>
    <col min="5" max="5" width="6.7109375" style="360" customWidth="1"/>
    <col min="6" max="6" width="12.5703125" style="360" customWidth="1"/>
    <col min="7" max="7" width="12.85546875" style="360" customWidth="1"/>
    <col min="8" max="8" width="23.7109375" style="360" customWidth="1"/>
    <col min="9" max="9" width="40" style="440" customWidth="1"/>
    <col min="10" max="10" width="36.42578125" style="180" customWidth="1"/>
    <col min="11" max="11" width="26.7109375" style="447" customWidth="1"/>
    <col min="12" max="12" width="39.140625" style="2009" customWidth="1"/>
    <col min="13" max="13" width="30.28515625" style="441" customWidth="1"/>
    <col min="14" max="14" width="38.140625" style="440" customWidth="1"/>
    <col min="15" max="15" width="15.5703125" style="443" customWidth="1"/>
    <col min="16" max="16" width="31.42578125" style="444" customWidth="1"/>
    <col min="17" max="17" width="45.7109375" style="442" customWidth="1"/>
    <col min="18" max="18" width="64.85546875" style="442" customWidth="1"/>
    <col min="19" max="19" width="76.42578125" style="442" customWidth="1"/>
    <col min="20" max="20" width="38.28515625" style="453" customWidth="1"/>
    <col min="21" max="21" width="22.28515625" style="446" customWidth="1"/>
    <col min="22" max="22" width="37" style="442" customWidth="1"/>
    <col min="23" max="23" width="12" style="360" customWidth="1"/>
    <col min="24" max="24" width="10.85546875" style="360" customWidth="1"/>
    <col min="25" max="25" width="9.85546875" style="360" customWidth="1"/>
    <col min="26" max="37" width="8.7109375" style="360" customWidth="1"/>
    <col min="38" max="38" width="9.42578125" style="360" bestFit="1" customWidth="1"/>
    <col min="39" max="39" width="17.28515625" style="360" customWidth="1"/>
    <col min="40" max="40" width="20.140625" style="360" customWidth="1"/>
    <col min="41" max="41" width="29.42578125" style="360" bestFit="1" customWidth="1"/>
    <col min="42" max="16384" width="9.140625" style="360"/>
  </cols>
  <sheetData>
    <row r="1" spans="1:60" customFormat="1" ht="18" customHeight="1" x14ac:dyDescent="0.25">
      <c r="A1" s="2797" t="s">
        <v>2381</v>
      </c>
      <c r="B1" s="2797"/>
      <c r="C1" s="2797"/>
      <c r="D1" s="2797"/>
      <c r="E1" s="2797"/>
      <c r="F1" s="2797"/>
      <c r="G1" s="2797"/>
      <c r="H1" s="2797"/>
      <c r="I1" s="2797"/>
      <c r="J1" s="2797"/>
      <c r="K1" s="2797"/>
      <c r="L1" s="2797"/>
      <c r="M1" s="2797"/>
      <c r="N1" s="2797"/>
      <c r="O1" s="2797"/>
      <c r="P1" s="2797"/>
      <c r="Q1" s="2797"/>
      <c r="R1" s="2797"/>
      <c r="S1" s="2797"/>
      <c r="T1" s="2797"/>
      <c r="U1" s="2797"/>
      <c r="V1" s="2797"/>
      <c r="W1" s="2797"/>
      <c r="X1" s="2797"/>
      <c r="Y1" s="2797"/>
      <c r="Z1" s="2797"/>
      <c r="AA1" s="2797"/>
      <c r="AB1" s="2797"/>
      <c r="AC1" s="2797"/>
      <c r="AD1" s="2797"/>
      <c r="AE1" s="2797"/>
      <c r="AF1" s="2797"/>
      <c r="AG1" s="2797"/>
      <c r="AH1" s="2797"/>
      <c r="AI1" s="2797"/>
      <c r="AJ1" s="2797"/>
      <c r="AK1" s="2797"/>
      <c r="AL1" s="2797"/>
      <c r="AM1" s="2798"/>
      <c r="AN1" s="1676" t="s">
        <v>1</v>
      </c>
      <c r="AO1" s="181" t="s">
        <v>948</v>
      </c>
      <c r="AR1" s="180"/>
      <c r="AS1" s="180"/>
      <c r="AT1" s="180"/>
      <c r="AU1" s="180"/>
      <c r="AV1" s="180"/>
      <c r="AW1" s="180"/>
      <c r="AX1" s="180"/>
      <c r="AY1" s="180"/>
      <c r="AZ1" s="180"/>
      <c r="BA1" s="180"/>
      <c r="BB1" s="180"/>
      <c r="BC1" s="180"/>
      <c r="BD1" s="180"/>
      <c r="BE1" s="180"/>
      <c r="BF1" s="180"/>
      <c r="BG1" s="180"/>
      <c r="BH1" s="180"/>
    </row>
    <row r="2" spans="1:60" customFormat="1" ht="18" customHeight="1" x14ac:dyDescent="0.25">
      <c r="A2" s="2797"/>
      <c r="B2" s="2797"/>
      <c r="C2" s="2797"/>
      <c r="D2" s="2797"/>
      <c r="E2" s="2797"/>
      <c r="F2" s="2797"/>
      <c r="G2" s="2797"/>
      <c r="H2" s="2797"/>
      <c r="I2" s="2797"/>
      <c r="J2" s="2797"/>
      <c r="K2" s="2797"/>
      <c r="L2" s="2797"/>
      <c r="M2" s="2797"/>
      <c r="N2" s="2797"/>
      <c r="O2" s="2797"/>
      <c r="P2" s="2797"/>
      <c r="Q2" s="2797"/>
      <c r="R2" s="2797"/>
      <c r="S2" s="2797"/>
      <c r="T2" s="2797"/>
      <c r="U2" s="2797"/>
      <c r="V2" s="2797"/>
      <c r="W2" s="2797"/>
      <c r="X2" s="2797"/>
      <c r="Y2" s="2797"/>
      <c r="Z2" s="2797"/>
      <c r="AA2" s="2797"/>
      <c r="AB2" s="2797"/>
      <c r="AC2" s="2797"/>
      <c r="AD2" s="2797"/>
      <c r="AE2" s="2797"/>
      <c r="AF2" s="2797"/>
      <c r="AG2" s="2797"/>
      <c r="AH2" s="2797"/>
      <c r="AI2" s="2797"/>
      <c r="AJ2" s="2797"/>
      <c r="AK2" s="2797"/>
      <c r="AL2" s="2797"/>
      <c r="AM2" s="2798"/>
      <c r="AN2" s="1676" t="s">
        <v>3</v>
      </c>
      <c r="AO2" s="181" t="s">
        <v>4</v>
      </c>
      <c r="AR2" s="180"/>
      <c r="AS2" s="180"/>
      <c r="AT2" s="180"/>
      <c r="AU2" s="180"/>
      <c r="AV2" s="180"/>
      <c r="AW2" s="180"/>
      <c r="AX2" s="180"/>
      <c r="AY2" s="180"/>
      <c r="AZ2" s="180"/>
      <c r="BA2" s="180"/>
      <c r="BB2" s="180"/>
      <c r="BC2" s="180"/>
      <c r="BD2" s="180"/>
      <c r="BE2" s="180"/>
      <c r="BF2" s="180"/>
      <c r="BG2" s="180"/>
      <c r="BH2" s="180"/>
    </row>
    <row r="3" spans="1:60" customFormat="1" ht="18" customHeight="1" x14ac:dyDescent="0.25">
      <c r="A3" s="2797"/>
      <c r="B3" s="2797"/>
      <c r="C3" s="2797"/>
      <c r="D3" s="2797"/>
      <c r="E3" s="2797"/>
      <c r="F3" s="2797"/>
      <c r="G3" s="2797"/>
      <c r="H3" s="2797"/>
      <c r="I3" s="2797"/>
      <c r="J3" s="2797"/>
      <c r="K3" s="2797"/>
      <c r="L3" s="2797"/>
      <c r="M3" s="2797"/>
      <c r="N3" s="2797"/>
      <c r="O3" s="2797"/>
      <c r="P3" s="2797"/>
      <c r="Q3" s="2797"/>
      <c r="R3" s="2797"/>
      <c r="S3" s="2797"/>
      <c r="T3" s="2797"/>
      <c r="U3" s="2797"/>
      <c r="V3" s="2797"/>
      <c r="W3" s="2797"/>
      <c r="X3" s="2797"/>
      <c r="Y3" s="2797"/>
      <c r="Z3" s="2797"/>
      <c r="AA3" s="2797"/>
      <c r="AB3" s="2797"/>
      <c r="AC3" s="2797"/>
      <c r="AD3" s="2797"/>
      <c r="AE3" s="2797"/>
      <c r="AF3" s="2797"/>
      <c r="AG3" s="2797"/>
      <c r="AH3" s="2797"/>
      <c r="AI3" s="2797"/>
      <c r="AJ3" s="2797"/>
      <c r="AK3" s="2797"/>
      <c r="AL3" s="2797"/>
      <c r="AM3" s="2798"/>
      <c r="AN3" s="1676" t="s">
        <v>5</v>
      </c>
      <c r="AO3" s="1123" t="s">
        <v>6</v>
      </c>
      <c r="AR3" s="180"/>
      <c r="AS3" s="180"/>
      <c r="AT3" s="180"/>
      <c r="AU3" s="180"/>
      <c r="AV3" s="180"/>
      <c r="AW3" s="180"/>
      <c r="AX3" s="180"/>
      <c r="AY3" s="180"/>
      <c r="AZ3" s="180"/>
      <c r="BA3" s="180"/>
      <c r="BB3" s="180"/>
      <c r="BC3" s="180"/>
      <c r="BD3" s="180"/>
      <c r="BE3" s="180"/>
      <c r="BF3" s="180"/>
      <c r="BG3" s="180"/>
      <c r="BH3" s="180"/>
    </row>
    <row r="4" spans="1:60" customFormat="1" ht="18" customHeight="1" x14ac:dyDescent="0.25">
      <c r="A4" s="2799"/>
      <c r="B4" s="2799"/>
      <c r="C4" s="2799"/>
      <c r="D4" s="2799"/>
      <c r="E4" s="2799"/>
      <c r="F4" s="2799"/>
      <c r="G4" s="2799"/>
      <c r="H4" s="2799"/>
      <c r="I4" s="2799"/>
      <c r="J4" s="2799"/>
      <c r="K4" s="2799"/>
      <c r="L4" s="2799"/>
      <c r="M4" s="2799"/>
      <c r="N4" s="2799"/>
      <c r="O4" s="2799"/>
      <c r="P4" s="2799"/>
      <c r="Q4" s="2799"/>
      <c r="R4" s="2799"/>
      <c r="S4" s="2799"/>
      <c r="T4" s="2799"/>
      <c r="U4" s="2799"/>
      <c r="V4" s="2799"/>
      <c r="W4" s="2799"/>
      <c r="X4" s="2799"/>
      <c r="Y4" s="2799"/>
      <c r="Z4" s="2799"/>
      <c r="AA4" s="2799"/>
      <c r="AB4" s="2799"/>
      <c r="AC4" s="2799"/>
      <c r="AD4" s="2799"/>
      <c r="AE4" s="2799"/>
      <c r="AF4" s="2799"/>
      <c r="AG4" s="2799"/>
      <c r="AH4" s="2799"/>
      <c r="AI4" s="2799"/>
      <c r="AJ4" s="2799"/>
      <c r="AK4" s="2799"/>
      <c r="AL4" s="2799"/>
      <c r="AM4" s="2800"/>
      <c r="AN4" s="1676" t="s">
        <v>7</v>
      </c>
      <c r="AO4" s="1124" t="s">
        <v>8</v>
      </c>
      <c r="AR4" s="180"/>
      <c r="AS4" s="180"/>
      <c r="AT4" s="180"/>
      <c r="AU4" s="180"/>
      <c r="AV4" s="180"/>
      <c r="AW4" s="180"/>
      <c r="AX4" s="180"/>
      <c r="AY4" s="180"/>
      <c r="AZ4" s="180"/>
      <c r="BA4" s="180"/>
      <c r="BB4" s="180"/>
      <c r="BC4" s="180"/>
      <c r="BD4" s="180"/>
      <c r="BE4" s="180"/>
      <c r="BF4" s="180"/>
      <c r="BG4" s="180"/>
      <c r="BH4" s="180"/>
    </row>
    <row r="5" spans="1:60" customFormat="1" ht="22.5" customHeight="1" x14ac:dyDescent="0.25">
      <c r="A5" s="2235" t="s">
        <v>9</v>
      </c>
      <c r="B5" s="2235"/>
      <c r="C5" s="2235"/>
      <c r="D5" s="2235"/>
      <c r="E5" s="2235"/>
      <c r="F5" s="2235"/>
      <c r="G5" s="2235"/>
      <c r="H5" s="2235"/>
      <c r="I5" s="2235"/>
      <c r="J5" s="2235"/>
      <c r="K5" s="2235"/>
      <c r="L5" s="2236" t="s">
        <v>10</v>
      </c>
      <c r="M5" s="2236"/>
      <c r="N5" s="2236"/>
      <c r="O5" s="2236"/>
      <c r="P5" s="2236"/>
      <c r="Q5" s="2236"/>
      <c r="R5" s="2236"/>
      <c r="S5" s="2236"/>
      <c r="T5" s="2236"/>
      <c r="U5" s="2236"/>
      <c r="V5" s="2236"/>
      <c r="W5" s="2236"/>
      <c r="X5" s="2236"/>
      <c r="Y5" s="2236"/>
      <c r="Z5" s="2236"/>
      <c r="AA5" s="2236"/>
      <c r="AB5" s="2236"/>
      <c r="AC5" s="2236"/>
      <c r="AD5" s="2236"/>
      <c r="AE5" s="2236"/>
      <c r="AF5" s="2236"/>
      <c r="AG5" s="2236"/>
      <c r="AH5" s="2236"/>
      <c r="AI5" s="2236"/>
      <c r="AJ5" s="2236"/>
      <c r="AK5" s="2236"/>
      <c r="AL5" s="2236"/>
      <c r="AM5" s="2236"/>
      <c r="AN5" s="2236"/>
      <c r="AO5" s="2236"/>
      <c r="AP5" s="3"/>
      <c r="AQ5" s="3"/>
      <c r="AR5" s="3"/>
      <c r="AS5" s="3"/>
      <c r="AT5" s="3"/>
      <c r="AU5" s="3"/>
      <c r="AV5" s="3"/>
      <c r="AW5" s="3"/>
      <c r="AX5" s="3"/>
      <c r="AY5" s="3"/>
      <c r="AZ5" s="3"/>
      <c r="BA5" s="3"/>
      <c r="BB5" s="3"/>
      <c r="BC5" s="3"/>
      <c r="BD5" s="3"/>
      <c r="BE5" s="3"/>
      <c r="BF5" s="3"/>
      <c r="BG5" s="3"/>
      <c r="BH5" s="3"/>
    </row>
    <row r="6" spans="1:60" customFormat="1" ht="29.25" customHeight="1" x14ac:dyDescent="0.25">
      <c r="A6" s="2233"/>
      <c r="B6" s="2233"/>
      <c r="C6" s="2233"/>
      <c r="D6" s="2233"/>
      <c r="E6" s="2233"/>
      <c r="F6" s="2233"/>
      <c r="G6" s="2233"/>
      <c r="H6" s="2233"/>
      <c r="I6" s="2233"/>
      <c r="J6" s="2233"/>
      <c r="K6" s="2233"/>
      <c r="L6" s="7"/>
      <c r="M6" s="8"/>
      <c r="N6" s="1125"/>
      <c r="O6" s="1665"/>
      <c r="P6" s="8"/>
      <c r="Q6" s="1125"/>
      <c r="R6" s="1125"/>
      <c r="S6" s="1125"/>
      <c r="T6" s="8"/>
      <c r="U6" s="8"/>
      <c r="V6" s="8"/>
      <c r="W6" s="2801" t="s">
        <v>11</v>
      </c>
      <c r="X6" s="2802"/>
      <c r="Y6" s="2802"/>
      <c r="Z6" s="2802"/>
      <c r="AA6" s="2802"/>
      <c r="AB6" s="2802"/>
      <c r="AC6" s="2802"/>
      <c r="AD6" s="2802"/>
      <c r="AE6" s="2802"/>
      <c r="AF6" s="2802"/>
      <c r="AG6" s="2802"/>
      <c r="AH6" s="2802"/>
      <c r="AI6" s="2802"/>
      <c r="AJ6" s="2802"/>
      <c r="AK6" s="2802"/>
      <c r="AL6" s="2802"/>
      <c r="AM6" s="1665"/>
      <c r="AN6" s="1665"/>
      <c r="AO6" s="12"/>
      <c r="AP6" s="3"/>
      <c r="AQ6" s="3"/>
      <c r="AR6" s="3"/>
      <c r="AS6" s="3"/>
      <c r="AT6" s="3"/>
      <c r="AU6" s="3"/>
      <c r="AV6" s="3"/>
      <c r="AW6" s="3"/>
      <c r="AX6" s="3"/>
      <c r="AY6" s="3"/>
      <c r="AZ6" s="3"/>
      <c r="BA6" s="3"/>
      <c r="BB6" s="3"/>
      <c r="BC6" s="3"/>
      <c r="BD6" s="3"/>
      <c r="BE6" s="3"/>
      <c r="BF6" s="3"/>
      <c r="BG6" s="3"/>
      <c r="BH6" s="3"/>
    </row>
    <row r="7" spans="1:60" s="4" customFormat="1" ht="36" customHeight="1" x14ac:dyDescent="0.2">
      <c r="A7" s="2158" t="s">
        <v>12</v>
      </c>
      <c r="B7" s="2160" t="s">
        <v>13</v>
      </c>
      <c r="C7" s="2161"/>
      <c r="D7" s="2161" t="s">
        <v>12</v>
      </c>
      <c r="E7" s="2160" t="s">
        <v>14</v>
      </c>
      <c r="F7" s="2161"/>
      <c r="G7" s="2161" t="s">
        <v>12</v>
      </c>
      <c r="H7" s="2143" t="s">
        <v>289</v>
      </c>
      <c r="I7" s="2160" t="s">
        <v>15</v>
      </c>
      <c r="J7" s="2143" t="s">
        <v>16</v>
      </c>
      <c r="K7" s="2143" t="s">
        <v>17</v>
      </c>
      <c r="L7" s="2143" t="s">
        <v>18</v>
      </c>
      <c r="M7" s="2143" t="s">
        <v>19</v>
      </c>
      <c r="N7" s="2143" t="s">
        <v>10</v>
      </c>
      <c r="O7" s="2165" t="s">
        <v>20</v>
      </c>
      <c r="P7" s="2167" t="s">
        <v>21</v>
      </c>
      <c r="Q7" s="2160" t="s">
        <v>22</v>
      </c>
      <c r="R7" s="2160" t="s">
        <v>23</v>
      </c>
      <c r="S7" s="2143" t="s">
        <v>24</v>
      </c>
      <c r="T7" s="2469" t="s">
        <v>21</v>
      </c>
      <c r="U7" s="2169" t="s">
        <v>12</v>
      </c>
      <c r="V7" s="3190" t="s">
        <v>25</v>
      </c>
      <c r="W7" s="3192" t="s">
        <v>26</v>
      </c>
      <c r="X7" s="3193"/>
      <c r="Y7" s="3194" t="s">
        <v>27</v>
      </c>
      <c r="Z7" s="3195"/>
      <c r="AA7" s="3195"/>
      <c r="AB7" s="3195"/>
      <c r="AC7" s="3196" t="s">
        <v>28</v>
      </c>
      <c r="AD7" s="3196"/>
      <c r="AE7" s="3196"/>
      <c r="AF7" s="3196"/>
      <c r="AG7" s="3196"/>
      <c r="AH7" s="3196"/>
      <c r="AI7" s="3194" t="s">
        <v>29</v>
      </c>
      <c r="AJ7" s="3195"/>
      <c r="AK7" s="3195"/>
      <c r="AL7" s="2164" t="s">
        <v>30</v>
      </c>
      <c r="AM7" s="2173" t="s">
        <v>31</v>
      </c>
      <c r="AN7" s="2173" t="s">
        <v>32</v>
      </c>
      <c r="AO7" s="3184" t="s">
        <v>33</v>
      </c>
    </row>
    <row r="8" spans="1:60" s="4" customFormat="1" ht="127.5" customHeight="1" x14ac:dyDescent="0.2">
      <c r="A8" s="2159"/>
      <c r="B8" s="2162"/>
      <c r="C8" s="2163"/>
      <c r="D8" s="2163"/>
      <c r="E8" s="2162"/>
      <c r="F8" s="2163"/>
      <c r="G8" s="2163"/>
      <c r="H8" s="2144"/>
      <c r="I8" s="2162"/>
      <c r="J8" s="2144"/>
      <c r="K8" s="2144"/>
      <c r="L8" s="2144"/>
      <c r="M8" s="2144"/>
      <c r="N8" s="2144"/>
      <c r="O8" s="2166"/>
      <c r="P8" s="2168"/>
      <c r="Q8" s="2162"/>
      <c r="R8" s="2162"/>
      <c r="S8" s="2144"/>
      <c r="T8" s="2470"/>
      <c r="U8" s="2170"/>
      <c r="V8" s="3191"/>
      <c r="W8" s="377" t="s">
        <v>35</v>
      </c>
      <c r="X8" s="377" t="s">
        <v>36</v>
      </c>
      <c r="Y8" s="378" t="s">
        <v>37</v>
      </c>
      <c r="Z8" s="378" t="s">
        <v>38</v>
      </c>
      <c r="AA8" s="378" t="s">
        <v>39</v>
      </c>
      <c r="AB8" s="378" t="s">
        <v>40</v>
      </c>
      <c r="AC8" s="379" t="s">
        <v>41</v>
      </c>
      <c r="AD8" s="379" t="s">
        <v>42</v>
      </c>
      <c r="AE8" s="379" t="s">
        <v>43</v>
      </c>
      <c r="AF8" s="379" t="s">
        <v>44</v>
      </c>
      <c r="AG8" s="379" t="s">
        <v>45</v>
      </c>
      <c r="AH8" s="379" t="s">
        <v>46</v>
      </c>
      <c r="AI8" s="378" t="s">
        <v>47</v>
      </c>
      <c r="AJ8" s="378" t="s">
        <v>48</v>
      </c>
      <c r="AK8" s="378" t="s">
        <v>49</v>
      </c>
      <c r="AL8" s="2164"/>
      <c r="AM8" s="2174"/>
      <c r="AN8" s="2174"/>
      <c r="AO8" s="2175"/>
    </row>
    <row r="9" spans="1:60" s="4" customFormat="1" ht="45.75" customHeight="1" x14ac:dyDescent="0.2">
      <c r="A9" s="2159"/>
      <c r="B9" s="2162"/>
      <c r="C9" s="2163"/>
      <c r="D9" s="2163"/>
      <c r="E9" s="2162"/>
      <c r="F9" s="2163"/>
      <c r="G9" s="2163"/>
      <c r="H9" s="2449"/>
      <c r="I9" s="2162"/>
      <c r="J9" s="2144"/>
      <c r="K9" s="2449"/>
      <c r="L9" s="2144"/>
      <c r="M9" s="2144"/>
      <c r="N9" s="2144"/>
      <c r="O9" s="2166"/>
      <c r="P9" s="2168"/>
      <c r="Q9" s="2162"/>
      <c r="R9" s="2162"/>
      <c r="S9" s="2144"/>
      <c r="T9" s="2471"/>
      <c r="U9" s="2396"/>
      <c r="V9" s="3191"/>
      <c r="W9" s="2013" t="s">
        <v>325</v>
      </c>
      <c r="X9" s="2013" t="s">
        <v>325</v>
      </c>
      <c r="Y9" s="2013" t="s">
        <v>325</v>
      </c>
      <c r="Z9" s="2013" t="s">
        <v>325</v>
      </c>
      <c r="AA9" s="2013" t="s">
        <v>325</v>
      </c>
      <c r="AB9" s="2013" t="s">
        <v>325</v>
      </c>
      <c r="AC9" s="2013" t="s">
        <v>325</v>
      </c>
      <c r="AD9" s="2013" t="s">
        <v>325</v>
      </c>
      <c r="AE9" s="2013" t="s">
        <v>325</v>
      </c>
      <c r="AF9" s="2013" t="s">
        <v>325</v>
      </c>
      <c r="AG9" s="2013" t="s">
        <v>325</v>
      </c>
      <c r="AH9" s="2013" t="s">
        <v>325</v>
      </c>
      <c r="AI9" s="2013" t="s">
        <v>325</v>
      </c>
      <c r="AJ9" s="2013" t="s">
        <v>325</v>
      </c>
      <c r="AK9" s="2013" t="s">
        <v>325</v>
      </c>
      <c r="AL9" s="2013" t="s">
        <v>325</v>
      </c>
      <c r="AM9" s="2013" t="s">
        <v>325</v>
      </c>
      <c r="AN9" s="2013" t="s">
        <v>325</v>
      </c>
      <c r="AO9" s="2175"/>
    </row>
    <row r="10" spans="1:60" s="4" customFormat="1" ht="15.75" x14ac:dyDescent="0.2">
      <c r="A10" s="190">
        <v>1</v>
      </c>
      <c r="B10" s="191" t="s">
        <v>214</v>
      </c>
      <c r="C10" s="640"/>
      <c r="D10" s="193"/>
      <c r="E10" s="192"/>
      <c r="F10" s="192"/>
      <c r="G10" s="192"/>
      <c r="H10" s="192"/>
      <c r="I10" s="192"/>
      <c r="J10" s="192"/>
      <c r="K10" s="1482"/>
      <c r="L10" s="2014"/>
      <c r="M10" s="1482"/>
      <c r="N10" s="2015"/>
      <c r="O10" s="1484"/>
      <c r="P10" s="2016"/>
      <c r="Q10" s="2017"/>
      <c r="R10" s="2017"/>
      <c r="S10" s="2017"/>
      <c r="T10" s="2018"/>
      <c r="U10" s="1486"/>
      <c r="V10" s="2017"/>
      <c r="W10" s="1482"/>
      <c r="X10" s="1482"/>
      <c r="Y10" s="1482"/>
      <c r="Z10" s="1482"/>
      <c r="AA10" s="1482"/>
      <c r="AB10" s="1482"/>
      <c r="AC10" s="1482"/>
      <c r="AD10" s="1482"/>
      <c r="AE10" s="1482"/>
      <c r="AF10" s="1482"/>
      <c r="AG10" s="1482"/>
      <c r="AH10" s="1482"/>
      <c r="AI10" s="1482"/>
      <c r="AJ10" s="1482"/>
      <c r="AK10" s="1482"/>
      <c r="AL10" s="1482"/>
      <c r="AM10" s="1487"/>
      <c r="AN10" s="1487"/>
      <c r="AO10" s="2019"/>
    </row>
    <row r="11" spans="1:60" s="4" customFormat="1" ht="21.75" customHeight="1" x14ac:dyDescent="0.2">
      <c r="A11" s="2020"/>
      <c r="B11" s="2021"/>
      <c r="C11" s="2022"/>
      <c r="D11" s="259">
        <v>15</v>
      </c>
      <c r="E11" s="698" t="s">
        <v>578</v>
      </c>
      <c r="F11" s="210"/>
      <c r="G11" s="209"/>
      <c r="H11" s="209"/>
      <c r="I11" s="208"/>
      <c r="J11" s="698"/>
      <c r="K11" s="211"/>
      <c r="L11" s="2023"/>
      <c r="M11" s="262"/>
      <c r="N11" s="214"/>
      <c r="O11" s="215"/>
      <c r="P11" s="2024"/>
      <c r="Q11" s="261"/>
      <c r="R11" s="261"/>
      <c r="S11" s="2025"/>
      <c r="T11" s="2026"/>
      <c r="U11" s="1515"/>
      <c r="V11" s="303"/>
      <c r="W11" s="262"/>
      <c r="X11" s="262"/>
      <c r="Y11" s="262"/>
      <c r="Z11" s="262"/>
      <c r="AA11" s="262"/>
      <c r="AB11" s="262"/>
      <c r="AC11" s="262"/>
      <c r="AD11" s="262"/>
      <c r="AE11" s="262"/>
      <c r="AF11" s="262"/>
      <c r="AG11" s="262"/>
      <c r="AH11" s="262"/>
      <c r="AI11" s="262"/>
      <c r="AJ11" s="262"/>
      <c r="AK11" s="262"/>
      <c r="AL11" s="262"/>
      <c r="AM11" s="269"/>
      <c r="AN11" s="269"/>
      <c r="AO11" s="2027"/>
    </row>
    <row r="12" spans="1:60" s="339" customFormat="1" ht="26.25" customHeight="1" x14ac:dyDescent="0.2">
      <c r="A12" s="2028"/>
      <c r="B12" s="1700"/>
      <c r="C12" s="1650"/>
      <c r="D12" s="1816"/>
      <c r="E12" s="2029"/>
      <c r="F12" s="2030"/>
      <c r="G12" s="2190">
        <v>2201033</v>
      </c>
      <c r="H12" s="2281">
        <v>15.13</v>
      </c>
      <c r="I12" s="2247" t="s">
        <v>2220</v>
      </c>
      <c r="J12" s="2493" t="s">
        <v>2221</v>
      </c>
      <c r="K12" s="3185">
        <v>9000</v>
      </c>
      <c r="L12" s="3188" t="s">
        <v>2222</v>
      </c>
      <c r="M12" s="2180" t="s">
        <v>2223</v>
      </c>
      <c r="N12" s="3197" t="s">
        <v>2224</v>
      </c>
      <c r="O12" s="2669">
        <f>SUM(T12:T15)/P12</f>
        <v>0.25931083184414566</v>
      </c>
      <c r="P12" s="3200">
        <f>SUM(T12:T27)</f>
        <v>20949608404.5</v>
      </c>
      <c r="Q12" s="2630" t="s">
        <v>2225</v>
      </c>
      <c r="R12" s="3201" t="s">
        <v>2226</v>
      </c>
      <c r="S12" s="2623" t="s">
        <v>2227</v>
      </c>
      <c r="T12" s="2031">
        <v>1783665275</v>
      </c>
      <c r="U12" s="2032">
        <v>35</v>
      </c>
      <c r="V12" s="1632" t="s">
        <v>1720</v>
      </c>
      <c r="W12" s="3202">
        <v>20196</v>
      </c>
      <c r="X12" s="3204">
        <v>20595</v>
      </c>
      <c r="Y12" s="3204">
        <v>29775</v>
      </c>
      <c r="Z12" s="3204">
        <v>9453</v>
      </c>
      <c r="AA12" s="3204">
        <v>1396</v>
      </c>
      <c r="AB12" s="3204">
        <v>167</v>
      </c>
      <c r="AC12" s="3217">
        <v>274</v>
      </c>
      <c r="AD12" s="3217">
        <v>329</v>
      </c>
      <c r="AE12" s="3217">
        <v>0</v>
      </c>
      <c r="AF12" s="3217">
        <v>0</v>
      </c>
      <c r="AG12" s="3217">
        <v>0</v>
      </c>
      <c r="AH12" s="3217">
        <v>0</v>
      </c>
      <c r="AI12" s="3217">
        <v>3097</v>
      </c>
      <c r="AJ12" s="3217">
        <v>2611</v>
      </c>
      <c r="AK12" s="3217">
        <v>50</v>
      </c>
      <c r="AL12" s="3217">
        <f>+W12+X12</f>
        <v>40791</v>
      </c>
      <c r="AM12" s="3219">
        <v>43832</v>
      </c>
      <c r="AN12" s="2604">
        <v>44195</v>
      </c>
      <c r="AO12" s="3213" t="s">
        <v>2228</v>
      </c>
    </row>
    <row r="13" spans="1:60" s="339" customFormat="1" ht="26.25" customHeight="1" x14ac:dyDescent="0.2">
      <c r="A13" s="2028"/>
      <c r="B13" s="1700"/>
      <c r="C13" s="1650"/>
      <c r="E13" s="2033"/>
      <c r="F13" s="2034"/>
      <c r="G13" s="2191"/>
      <c r="H13" s="2282"/>
      <c r="I13" s="2247"/>
      <c r="J13" s="2494"/>
      <c r="K13" s="3186"/>
      <c r="L13" s="3189"/>
      <c r="M13" s="2180"/>
      <c r="N13" s="3198"/>
      <c r="O13" s="2669"/>
      <c r="P13" s="3200"/>
      <c r="Q13" s="2631"/>
      <c r="R13" s="2759"/>
      <c r="S13" s="2623"/>
      <c r="T13" s="2035">
        <v>1677119008</v>
      </c>
      <c r="U13" s="1710">
        <v>20</v>
      </c>
      <c r="V13" s="1657" t="s">
        <v>365</v>
      </c>
      <c r="W13" s="3203"/>
      <c r="X13" s="3205"/>
      <c r="Y13" s="3205"/>
      <c r="Z13" s="3205"/>
      <c r="AA13" s="3205"/>
      <c r="AB13" s="3205">
        <v>167</v>
      </c>
      <c r="AC13" s="3218">
        <v>274</v>
      </c>
      <c r="AD13" s="3218"/>
      <c r="AE13" s="3218"/>
      <c r="AF13" s="3218"/>
      <c r="AG13" s="3218"/>
      <c r="AH13" s="3218"/>
      <c r="AI13" s="3218"/>
      <c r="AJ13" s="3218"/>
      <c r="AK13" s="3218"/>
      <c r="AL13" s="3218"/>
      <c r="AM13" s="3219"/>
      <c r="AN13" s="2605"/>
      <c r="AO13" s="3214"/>
    </row>
    <row r="14" spans="1:60" s="339" customFormat="1" ht="31.5" customHeight="1" x14ac:dyDescent="0.2">
      <c r="A14" s="2028"/>
      <c r="B14" s="1700"/>
      <c r="C14" s="1650"/>
      <c r="E14" s="2033"/>
      <c r="F14" s="2034"/>
      <c r="G14" s="2191"/>
      <c r="H14" s="2282"/>
      <c r="I14" s="2321"/>
      <c r="J14" s="2494"/>
      <c r="K14" s="3186"/>
      <c r="L14" s="3189"/>
      <c r="M14" s="2180"/>
      <c r="N14" s="3198"/>
      <c r="O14" s="2669"/>
      <c r="P14" s="3200"/>
      <c r="Q14" s="2631"/>
      <c r="R14" s="2759"/>
      <c r="S14" s="2623"/>
      <c r="T14" s="2031">
        <v>1711721541.22</v>
      </c>
      <c r="U14" s="1690">
        <v>88</v>
      </c>
      <c r="V14" s="1632" t="s">
        <v>2229</v>
      </c>
      <c r="W14" s="3203"/>
      <c r="X14" s="3205"/>
      <c r="Y14" s="3205"/>
      <c r="Z14" s="3205"/>
      <c r="AA14" s="3205"/>
      <c r="AB14" s="3205">
        <v>167</v>
      </c>
      <c r="AC14" s="3218">
        <v>274</v>
      </c>
      <c r="AD14" s="3218"/>
      <c r="AE14" s="3218"/>
      <c r="AF14" s="3218"/>
      <c r="AG14" s="3218"/>
      <c r="AH14" s="3218"/>
      <c r="AI14" s="3218"/>
      <c r="AJ14" s="3218"/>
      <c r="AK14" s="3218"/>
      <c r="AL14" s="3218"/>
      <c r="AM14" s="3219"/>
      <c r="AN14" s="2605"/>
      <c r="AO14" s="3214"/>
    </row>
    <row r="15" spans="1:60" s="339" customFormat="1" ht="29.25" customHeight="1" x14ac:dyDescent="0.2">
      <c r="A15" s="2028"/>
      <c r="B15" s="1700"/>
      <c r="C15" s="1650"/>
      <c r="E15" s="2033"/>
      <c r="F15" s="2034"/>
      <c r="G15" s="2191"/>
      <c r="H15" s="2282"/>
      <c r="I15" s="2321"/>
      <c r="J15" s="2494"/>
      <c r="K15" s="3187"/>
      <c r="L15" s="3189"/>
      <c r="M15" s="2180"/>
      <c r="N15" s="3198"/>
      <c r="O15" s="2669"/>
      <c r="P15" s="3200"/>
      <c r="Q15" s="2631"/>
      <c r="R15" s="2759"/>
      <c r="S15" s="2623"/>
      <c r="T15" s="2035">
        <v>259954557.96000001</v>
      </c>
      <c r="U15" s="1690">
        <v>91</v>
      </c>
      <c r="V15" s="1632" t="s">
        <v>2230</v>
      </c>
      <c r="W15" s="3203"/>
      <c r="X15" s="3205"/>
      <c r="Y15" s="3205"/>
      <c r="Z15" s="3205"/>
      <c r="AA15" s="3205"/>
      <c r="AB15" s="3205">
        <v>167</v>
      </c>
      <c r="AC15" s="3218">
        <v>274</v>
      </c>
      <c r="AD15" s="3218"/>
      <c r="AE15" s="3218"/>
      <c r="AF15" s="3218"/>
      <c r="AG15" s="3218"/>
      <c r="AH15" s="3218"/>
      <c r="AI15" s="3218"/>
      <c r="AJ15" s="3218"/>
      <c r="AK15" s="3218"/>
      <c r="AL15" s="3218"/>
      <c r="AM15" s="3219"/>
      <c r="AN15" s="2605"/>
      <c r="AO15" s="3214"/>
    </row>
    <row r="16" spans="1:60" s="339" customFormat="1" ht="45" customHeight="1" x14ac:dyDescent="0.2">
      <c r="A16" s="2028"/>
      <c r="B16" s="1700"/>
      <c r="C16" s="1650"/>
      <c r="E16" s="2033"/>
      <c r="F16" s="2033"/>
      <c r="G16" s="2206">
        <v>2201028</v>
      </c>
      <c r="H16" s="2206">
        <v>15.9</v>
      </c>
      <c r="I16" s="2247" t="s">
        <v>2231</v>
      </c>
      <c r="J16" s="2623" t="s">
        <v>2232</v>
      </c>
      <c r="K16" s="3185">
        <v>36000</v>
      </c>
      <c r="L16" s="3189"/>
      <c r="M16" s="2180"/>
      <c r="N16" s="3198"/>
      <c r="O16" s="2669">
        <f>SUM(T16:T26)/P12</f>
        <v>0.73901018851285316</v>
      </c>
      <c r="P16" s="3200"/>
      <c r="Q16" s="2631"/>
      <c r="R16" s="2759"/>
      <c r="S16" s="2623" t="s">
        <v>2233</v>
      </c>
      <c r="T16" s="3215">
        <v>10133103712</v>
      </c>
      <c r="U16" s="3206">
        <v>81</v>
      </c>
      <c r="V16" s="3208" t="s">
        <v>2234</v>
      </c>
      <c r="W16" s="3203"/>
      <c r="X16" s="3205"/>
      <c r="Y16" s="3205"/>
      <c r="Z16" s="3205"/>
      <c r="AA16" s="3205"/>
      <c r="AB16" s="3205">
        <v>167</v>
      </c>
      <c r="AC16" s="3218">
        <v>274</v>
      </c>
      <c r="AD16" s="3218"/>
      <c r="AE16" s="3218"/>
      <c r="AF16" s="3218"/>
      <c r="AG16" s="3218"/>
      <c r="AH16" s="3218"/>
      <c r="AI16" s="3218"/>
      <c r="AJ16" s="3218"/>
      <c r="AK16" s="3218"/>
      <c r="AL16" s="3218"/>
      <c r="AM16" s="3219"/>
      <c r="AN16" s="2605"/>
      <c r="AO16" s="3214"/>
    </row>
    <row r="17" spans="1:41" s="339" customFormat="1" ht="41.25" customHeight="1" x14ac:dyDescent="0.2">
      <c r="A17" s="2028"/>
      <c r="B17" s="1700"/>
      <c r="C17" s="1650"/>
      <c r="E17" s="2033"/>
      <c r="F17" s="2033"/>
      <c r="G17" s="2206"/>
      <c r="H17" s="2206"/>
      <c r="I17" s="2247"/>
      <c r="J17" s="2623"/>
      <c r="K17" s="3186"/>
      <c r="L17" s="3189"/>
      <c r="M17" s="2180"/>
      <c r="N17" s="3198"/>
      <c r="O17" s="2669"/>
      <c r="P17" s="3200"/>
      <c r="Q17" s="2631"/>
      <c r="R17" s="2759"/>
      <c r="S17" s="2623"/>
      <c r="T17" s="3216"/>
      <c r="U17" s="3207"/>
      <c r="V17" s="2257"/>
      <c r="W17" s="3203"/>
      <c r="X17" s="3205"/>
      <c r="Y17" s="3205"/>
      <c r="Z17" s="3205"/>
      <c r="AA17" s="3205"/>
      <c r="AB17" s="3205"/>
      <c r="AC17" s="3218"/>
      <c r="AD17" s="3218"/>
      <c r="AE17" s="3218"/>
      <c r="AF17" s="3218"/>
      <c r="AG17" s="3218"/>
      <c r="AH17" s="3218"/>
      <c r="AI17" s="3218"/>
      <c r="AJ17" s="3218"/>
      <c r="AK17" s="3218"/>
      <c r="AL17" s="3218"/>
      <c r="AM17" s="3219"/>
      <c r="AN17" s="2605"/>
      <c r="AO17" s="3214"/>
    </row>
    <row r="18" spans="1:41" s="339" customFormat="1" ht="75" customHeight="1" x14ac:dyDescent="0.2">
      <c r="A18" s="2028"/>
      <c r="B18" s="1700"/>
      <c r="C18" s="1650"/>
      <c r="E18" s="2033"/>
      <c r="F18" s="2033"/>
      <c r="G18" s="2206"/>
      <c r="H18" s="2206"/>
      <c r="I18" s="2247"/>
      <c r="J18" s="2623"/>
      <c r="K18" s="3186"/>
      <c r="L18" s="3189"/>
      <c r="M18" s="2180"/>
      <c r="N18" s="3198"/>
      <c r="O18" s="2669"/>
      <c r="P18" s="3200"/>
      <c r="Q18" s="2631"/>
      <c r="R18" s="2759"/>
      <c r="S18" s="2247"/>
      <c r="T18" s="2036">
        <v>7200000</v>
      </c>
      <c r="U18" s="1715">
        <v>137</v>
      </c>
      <c r="V18" s="1639" t="s">
        <v>2235</v>
      </c>
      <c r="W18" s="3203"/>
      <c r="X18" s="3205"/>
      <c r="Y18" s="3205"/>
      <c r="Z18" s="3205"/>
      <c r="AA18" s="3205"/>
      <c r="AB18" s="3205">
        <v>167</v>
      </c>
      <c r="AC18" s="3218">
        <v>274</v>
      </c>
      <c r="AD18" s="3218"/>
      <c r="AE18" s="3218"/>
      <c r="AF18" s="3218"/>
      <c r="AG18" s="3218"/>
      <c r="AH18" s="3218"/>
      <c r="AI18" s="3218"/>
      <c r="AJ18" s="3218"/>
      <c r="AK18" s="3218"/>
      <c r="AL18" s="3218"/>
      <c r="AM18" s="3219"/>
      <c r="AN18" s="2605"/>
      <c r="AO18" s="3214"/>
    </row>
    <row r="19" spans="1:41" s="339" customFormat="1" ht="76.5" customHeight="1" x14ac:dyDescent="0.2">
      <c r="A19" s="2028"/>
      <c r="B19" s="1700"/>
      <c r="C19" s="1650"/>
      <c r="E19" s="2033"/>
      <c r="F19" s="2033"/>
      <c r="G19" s="2206"/>
      <c r="H19" s="2206"/>
      <c r="I19" s="2247"/>
      <c r="J19" s="2623"/>
      <c r="K19" s="3186"/>
      <c r="L19" s="3189"/>
      <c r="M19" s="2180"/>
      <c r="N19" s="3198"/>
      <c r="O19" s="2669"/>
      <c r="P19" s="3200"/>
      <c r="Q19" s="2631"/>
      <c r="R19" s="2756"/>
      <c r="S19" s="1701" t="s">
        <v>2236</v>
      </c>
      <c r="T19" s="2037">
        <v>286000000</v>
      </c>
      <c r="U19" s="1719">
        <v>20</v>
      </c>
      <c r="V19" s="1632" t="s">
        <v>365</v>
      </c>
      <c r="W19" s="3203"/>
      <c r="X19" s="3205"/>
      <c r="Y19" s="3205"/>
      <c r="Z19" s="3205"/>
      <c r="AA19" s="3205"/>
      <c r="AB19" s="3205">
        <v>167</v>
      </c>
      <c r="AC19" s="3218">
        <v>274</v>
      </c>
      <c r="AD19" s="3218"/>
      <c r="AE19" s="3218"/>
      <c r="AF19" s="3218"/>
      <c r="AG19" s="3218"/>
      <c r="AH19" s="3218"/>
      <c r="AI19" s="3218"/>
      <c r="AJ19" s="3218"/>
      <c r="AK19" s="3218"/>
      <c r="AL19" s="3218"/>
      <c r="AM19" s="3219"/>
      <c r="AN19" s="2605"/>
      <c r="AO19" s="3214"/>
    </row>
    <row r="20" spans="1:41" s="339" customFormat="1" ht="57.75" customHeight="1" x14ac:dyDescent="0.2">
      <c r="A20" s="1809"/>
      <c r="C20" s="1783"/>
      <c r="G20" s="2206"/>
      <c r="H20" s="2206"/>
      <c r="I20" s="2247"/>
      <c r="J20" s="2623"/>
      <c r="K20" s="3186"/>
      <c r="L20" s="3189"/>
      <c r="M20" s="2180"/>
      <c r="N20" s="3198"/>
      <c r="O20" s="2669"/>
      <c r="P20" s="3200"/>
      <c r="Q20" s="2631"/>
      <c r="R20" s="2756"/>
      <c r="S20" s="2633" t="s">
        <v>2237</v>
      </c>
      <c r="T20" s="3209">
        <v>1852515646.8800001</v>
      </c>
      <c r="U20" s="3222">
        <v>81</v>
      </c>
      <c r="V20" s="3224" t="s">
        <v>2234</v>
      </c>
      <c r="W20" s="3203"/>
      <c r="X20" s="3205"/>
      <c r="Y20" s="3205"/>
      <c r="Z20" s="3205"/>
      <c r="AA20" s="3205"/>
      <c r="AB20" s="3205">
        <v>167</v>
      </c>
      <c r="AC20" s="3218">
        <v>274</v>
      </c>
      <c r="AD20" s="3218"/>
      <c r="AE20" s="3218"/>
      <c r="AF20" s="3218"/>
      <c r="AG20" s="3218"/>
      <c r="AH20" s="3218"/>
      <c r="AI20" s="3218"/>
      <c r="AJ20" s="3218"/>
      <c r="AK20" s="3218"/>
      <c r="AL20" s="3218"/>
      <c r="AM20" s="3219"/>
      <c r="AN20" s="2605"/>
      <c r="AO20" s="3214"/>
    </row>
    <row r="21" spans="1:41" s="339" customFormat="1" ht="34.5" customHeight="1" x14ac:dyDescent="0.2">
      <c r="A21" s="1809"/>
      <c r="C21" s="1783"/>
      <c r="G21" s="2206"/>
      <c r="H21" s="2206"/>
      <c r="I21" s="2247"/>
      <c r="J21" s="2623"/>
      <c r="K21" s="3186"/>
      <c r="L21" s="3189"/>
      <c r="M21" s="2180"/>
      <c r="N21" s="3198"/>
      <c r="O21" s="2669"/>
      <c r="P21" s="3200"/>
      <c r="Q21" s="2631"/>
      <c r="R21" s="2756"/>
      <c r="S21" s="2634"/>
      <c r="T21" s="3210"/>
      <c r="U21" s="3223"/>
      <c r="V21" s="2603"/>
      <c r="W21" s="3203"/>
      <c r="X21" s="3205"/>
      <c r="Y21" s="3205"/>
      <c r="Z21" s="3205"/>
      <c r="AA21" s="3205"/>
      <c r="AB21" s="3205"/>
      <c r="AC21" s="3218"/>
      <c r="AD21" s="3218"/>
      <c r="AE21" s="3218"/>
      <c r="AF21" s="3218"/>
      <c r="AG21" s="3218"/>
      <c r="AH21" s="3218"/>
      <c r="AI21" s="3218"/>
      <c r="AJ21" s="3218"/>
      <c r="AK21" s="3218"/>
      <c r="AL21" s="3218"/>
      <c r="AM21" s="3219"/>
      <c r="AN21" s="2605"/>
      <c r="AO21" s="3214"/>
    </row>
    <row r="22" spans="1:41" s="339" customFormat="1" ht="34.5" customHeight="1" x14ac:dyDescent="0.2">
      <c r="A22" s="1809"/>
      <c r="C22" s="1783"/>
      <c r="G22" s="2206"/>
      <c r="H22" s="2206"/>
      <c r="I22" s="2247"/>
      <c r="J22" s="2623"/>
      <c r="K22" s="3186"/>
      <c r="L22" s="3189"/>
      <c r="M22" s="2180"/>
      <c r="N22" s="3198"/>
      <c r="O22" s="2669"/>
      <c r="P22" s="3200"/>
      <c r="Q22" s="2631"/>
      <c r="R22" s="2756"/>
      <c r="S22" s="2634"/>
      <c r="T22" s="2038">
        <v>105923767</v>
      </c>
      <c r="U22" s="1690">
        <v>35</v>
      </c>
      <c r="V22" s="1693" t="s">
        <v>1720</v>
      </c>
      <c r="W22" s="3203"/>
      <c r="X22" s="3205"/>
      <c r="Y22" s="3205"/>
      <c r="Z22" s="3205"/>
      <c r="AA22" s="3205"/>
      <c r="AB22" s="3205"/>
      <c r="AC22" s="3218"/>
      <c r="AD22" s="3218"/>
      <c r="AE22" s="3218"/>
      <c r="AF22" s="3218"/>
      <c r="AG22" s="3218"/>
      <c r="AH22" s="3218"/>
      <c r="AI22" s="3218"/>
      <c r="AJ22" s="3218"/>
      <c r="AK22" s="3218"/>
      <c r="AL22" s="3218"/>
      <c r="AM22" s="3219"/>
      <c r="AN22" s="2605"/>
      <c r="AO22" s="3214"/>
    </row>
    <row r="23" spans="1:41" s="339" customFormat="1" ht="30" x14ac:dyDescent="0.2">
      <c r="A23" s="1809"/>
      <c r="C23" s="1783"/>
      <c r="G23" s="2206"/>
      <c r="H23" s="2206"/>
      <c r="I23" s="2247"/>
      <c r="J23" s="2623"/>
      <c r="K23" s="3186"/>
      <c r="L23" s="3189"/>
      <c r="M23" s="2180"/>
      <c r="N23" s="3198"/>
      <c r="O23" s="2669"/>
      <c r="P23" s="3200"/>
      <c r="Q23" s="2631"/>
      <c r="R23" s="2756"/>
      <c r="S23" s="2634"/>
      <c r="T23" s="2039">
        <f>65830541.87+1059742151</f>
        <v>1125572692.8699999</v>
      </c>
      <c r="U23" s="1690">
        <v>137</v>
      </c>
      <c r="V23" s="1693" t="s">
        <v>2235</v>
      </c>
      <c r="W23" s="3203"/>
      <c r="X23" s="3205"/>
      <c r="Y23" s="3205"/>
      <c r="Z23" s="3205"/>
      <c r="AA23" s="3205"/>
      <c r="AB23" s="3205">
        <v>167</v>
      </c>
      <c r="AC23" s="3218">
        <v>274</v>
      </c>
      <c r="AD23" s="3218"/>
      <c r="AE23" s="3218"/>
      <c r="AF23" s="3218"/>
      <c r="AG23" s="3218"/>
      <c r="AH23" s="3218"/>
      <c r="AI23" s="3218"/>
      <c r="AJ23" s="3218"/>
      <c r="AK23" s="3218"/>
      <c r="AL23" s="3218"/>
      <c r="AM23" s="3219"/>
      <c r="AN23" s="2605"/>
      <c r="AO23" s="3214"/>
    </row>
    <row r="24" spans="1:41" s="339" customFormat="1" ht="45" customHeight="1" x14ac:dyDescent="0.2">
      <c r="A24" s="1809"/>
      <c r="C24" s="1783"/>
      <c r="G24" s="2206"/>
      <c r="H24" s="2206"/>
      <c r="I24" s="2247"/>
      <c r="J24" s="2623"/>
      <c r="K24" s="3186"/>
      <c r="L24" s="3189"/>
      <c r="M24" s="2180"/>
      <c r="N24" s="3198"/>
      <c r="O24" s="2669"/>
      <c r="P24" s="3200"/>
      <c r="Q24" s="2631"/>
      <c r="R24" s="2756"/>
      <c r="S24" s="2634"/>
      <c r="T24" s="2040">
        <v>1577223665.5699999</v>
      </c>
      <c r="U24" s="1690">
        <v>172</v>
      </c>
      <c r="V24" s="1693" t="s">
        <v>2238</v>
      </c>
      <c r="W24" s="3203"/>
      <c r="X24" s="3205"/>
      <c r="Y24" s="3205"/>
      <c r="Z24" s="3205"/>
      <c r="AA24" s="3205"/>
      <c r="AB24" s="3205">
        <v>167</v>
      </c>
      <c r="AC24" s="3218">
        <v>274</v>
      </c>
      <c r="AD24" s="3218"/>
      <c r="AE24" s="3218"/>
      <c r="AF24" s="3218"/>
      <c r="AG24" s="3218"/>
      <c r="AH24" s="3218"/>
      <c r="AI24" s="3218"/>
      <c r="AJ24" s="3218"/>
      <c r="AK24" s="3218"/>
      <c r="AL24" s="3218"/>
      <c r="AM24" s="3219"/>
      <c r="AN24" s="2605"/>
      <c r="AO24" s="3214"/>
    </row>
    <row r="25" spans="1:41" s="339" customFormat="1" ht="35.25" customHeight="1" x14ac:dyDescent="0.2">
      <c r="A25" s="1809"/>
      <c r="C25" s="1783"/>
      <c r="G25" s="2206"/>
      <c r="H25" s="2206"/>
      <c r="I25" s="2247"/>
      <c r="J25" s="2623"/>
      <c r="K25" s="3186"/>
      <c r="L25" s="3189"/>
      <c r="M25" s="2180"/>
      <c r="N25" s="3198"/>
      <c r="O25" s="2669"/>
      <c r="P25" s="3200"/>
      <c r="Q25" s="2631"/>
      <c r="R25" s="2756"/>
      <c r="S25" s="2634"/>
      <c r="T25" s="2041">
        <v>394351422</v>
      </c>
      <c r="U25" s="1690">
        <v>25</v>
      </c>
      <c r="V25" s="1690" t="s">
        <v>2239</v>
      </c>
      <c r="W25" s="3203"/>
      <c r="X25" s="3205"/>
      <c r="Y25" s="3205"/>
      <c r="Z25" s="3205"/>
      <c r="AA25" s="3205"/>
      <c r="AB25" s="3205">
        <v>167</v>
      </c>
      <c r="AC25" s="3218">
        <v>274</v>
      </c>
      <c r="AD25" s="3218"/>
      <c r="AE25" s="3218"/>
      <c r="AF25" s="3218"/>
      <c r="AG25" s="3218"/>
      <c r="AH25" s="3218"/>
      <c r="AI25" s="3218"/>
      <c r="AJ25" s="3218"/>
      <c r="AK25" s="3218"/>
      <c r="AL25" s="3218"/>
      <c r="AM25" s="3219"/>
      <c r="AN25" s="2605"/>
      <c r="AO25" s="3214"/>
    </row>
    <row r="26" spans="1:41" s="339" customFormat="1" ht="39.75" customHeight="1" x14ac:dyDescent="0.2">
      <c r="A26" s="1809"/>
      <c r="C26" s="1783"/>
      <c r="G26" s="2206"/>
      <c r="H26" s="2206"/>
      <c r="I26" s="2247"/>
      <c r="J26" s="2623"/>
      <c r="K26" s="3186"/>
      <c r="L26" s="3189"/>
      <c r="M26" s="2180"/>
      <c r="N26" s="3198"/>
      <c r="O26" s="2669"/>
      <c r="P26" s="3200"/>
      <c r="Q26" s="2631"/>
      <c r="R26" s="2756"/>
      <c r="S26" s="2634"/>
      <c r="T26" s="2037">
        <v>83149.960000000006</v>
      </c>
      <c r="U26" s="1692">
        <v>134</v>
      </c>
      <c r="V26" s="1692" t="s">
        <v>2240</v>
      </c>
      <c r="W26" s="3203"/>
      <c r="X26" s="3205"/>
      <c r="Y26" s="3205"/>
      <c r="Z26" s="3205"/>
      <c r="AA26" s="3205"/>
      <c r="AB26" s="3205">
        <v>167</v>
      </c>
      <c r="AC26" s="3218">
        <v>274</v>
      </c>
      <c r="AD26" s="3218"/>
      <c r="AE26" s="3218"/>
      <c r="AF26" s="3218"/>
      <c r="AG26" s="3218"/>
      <c r="AH26" s="3218"/>
      <c r="AI26" s="3218"/>
      <c r="AJ26" s="3218"/>
      <c r="AK26" s="3218"/>
      <c r="AL26" s="3218"/>
      <c r="AM26" s="3219"/>
      <c r="AN26" s="2605"/>
      <c r="AO26" s="3214"/>
    </row>
    <row r="27" spans="1:41" s="339" customFormat="1" ht="40.5" customHeight="1" x14ac:dyDescent="0.2">
      <c r="A27" s="1809"/>
      <c r="C27" s="1783"/>
      <c r="G27" s="2206"/>
      <c r="H27" s="2206"/>
      <c r="I27" s="2247"/>
      <c r="J27" s="2623"/>
      <c r="K27" s="3187"/>
      <c r="L27" s="3189"/>
      <c r="M27" s="2180"/>
      <c r="N27" s="3199"/>
      <c r="O27" s="2669"/>
      <c r="P27" s="3200"/>
      <c r="Q27" s="2631"/>
      <c r="R27" s="2756"/>
      <c r="S27" s="2635"/>
      <c r="T27" s="2042">
        <v>35173966.039999999</v>
      </c>
      <c r="U27" s="1693">
        <v>91</v>
      </c>
      <c r="V27" s="2032" t="s">
        <v>2230</v>
      </c>
      <c r="W27" s="3203"/>
      <c r="X27" s="3205"/>
      <c r="Y27" s="3205"/>
      <c r="Z27" s="3205"/>
      <c r="AA27" s="3205"/>
      <c r="AB27" s="3205">
        <v>167</v>
      </c>
      <c r="AC27" s="3218">
        <v>274</v>
      </c>
      <c r="AD27" s="3218"/>
      <c r="AE27" s="3218"/>
      <c r="AF27" s="3218"/>
      <c r="AG27" s="3218"/>
      <c r="AH27" s="3218"/>
      <c r="AI27" s="3218"/>
      <c r="AJ27" s="3218"/>
      <c r="AK27" s="3218"/>
      <c r="AL27" s="3218"/>
      <c r="AM27" s="3219"/>
      <c r="AN27" s="2605"/>
      <c r="AO27" s="3214"/>
    </row>
    <row r="28" spans="1:41" s="339" customFormat="1" ht="120" customHeight="1" x14ac:dyDescent="0.2">
      <c r="A28" s="1809"/>
      <c r="C28" s="1783"/>
      <c r="F28" s="1783"/>
      <c r="G28" s="1639">
        <v>2201055</v>
      </c>
      <c r="H28" s="1639" t="s">
        <v>2241</v>
      </c>
      <c r="I28" s="1661" t="s">
        <v>2242</v>
      </c>
      <c r="J28" s="1153" t="s">
        <v>2243</v>
      </c>
      <c r="K28" s="1675">
        <v>1</v>
      </c>
      <c r="L28" s="2325" t="s">
        <v>2244</v>
      </c>
      <c r="M28" s="2180" t="s">
        <v>2245</v>
      </c>
      <c r="N28" s="2634" t="s">
        <v>2246</v>
      </c>
      <c r="O28" s="2043">
        <f>T28/P28</f>
        <v>5.0112009042575102E-2</v>
      </c>
      <c r="P28" s="3211">
        <f>T28+T29</f>
        <v>1244983412</v>
      </c>
      <c r="Q28" s="2286" t="s">
        <v>2247</v>
      </c>
      <c r="R28" s="2258" t="s">
        <v>2248</v>
      </c>
      <c r="S28" s="1153" t="s">
        <v>2249</v>
      </c>
      <c r="T28" s="2044">
        <f>52000000+10388620</f>
        <v>62388620</v>
      </c>
      <c r="U28" s="2045">
        <v>25</v>
      </c>
      <c r="V28" s="1690" t="s">
        <v>2239</v>
      </c>
      <c r="W28" s="3202">
        <v>0</v>
      </c>
      <c r="X28" s="3204">
        <v>0</v>
      </c>
      <c r="Y28" s="3204">
        <v>0</v>
      </c>
      <c r="Z28" s="3204">
        <v>0</v>
      </c>
      <c r="AA28" s="3204">
        <v>0</v>
      </c>
      <c r="AB28" s="3204">
        <v>167</v>
      </c>
      <c r="AC28" s="3204">
        <v>274</v>
      </c>
      <c r="AD28" s="3204">
        <v>329</v>
      </c>
      <c r="AE28" s="3204">
        <v>0</v>
      </c>
      <c r="AF28" s="3204">
        <v>0</v>
      </c>
      <c r="AG28" s="3204">
        <v>0</v>
      </c>
      <c r="AH28" s="3204">
        <v>0</v>
      </c>
      <c r="AI28" s="3204">
        <v>3097</v>
      </c>
      <c r="AJ28" s="3204">
        <v>2611</v>
      </c>
      <c r="AK28" s="3204">
        <v>50</v>
      </c>
      <c r="AL28" s="3204">
        <f>SUM(AB28+AK28+AC28+AD28+AI28+AJ28)</f>
        <v>6528</v>
      </c>
      <c r="AM28" s="3219">
        <v>43832</v>
      </c>
      <c r="AN28" s="2604">
        <v>44195</v>
      </c>
      <c r="AO28" s="2285" t="s">
        <v>2228</v>
      </c>
    </row>
    <row r="29" spans="1:41" s="339" customFormat="1" ht="76.5" customHeight="1" x14ac:dyDescent="0.2">
      <c r="A29" s="1809"/>
      <c r="C29" s="1783"/>
      <c r="F29" s="1783"/>
      <c r="G29" s="1639">
        <v>2201030</v>
      </c>
      <c r="H29" s="1636" t="s">
        <v>2250</v>
      </c>
      <c r="I29" s="1655" t="s">
        <v>2251</v>
      </c>
      <c r="J29" s="1709" t="s">
        <v>2252</v>
      </c>
      <c r="K29" s="2046">
        <v>2500</v>
      </c>
      <c r="L29" s="2326"/>
      <c r="M29" s="2190"/>
      <c r="N29" s="2634"/>
      <c r="O29" s="2043">
        <f>T29/P28</f>
        <v>0.94988799095742493</v>
      </c>
      <c r="P29" s="3212"/>
      <c r="Q29" s="2286"/>
      <c r="R29" s="2285"/>
      <c r="S29" s="1709" t="s">
        <v>2253</v>
      </c>
      <c r="T29" s="2047">
        <v>1182594792</v>
      </c>
      <c r="U29" s="2048">
        <v>25</v>
      </c>
      <c r="V29" s="1711" t="s">
        <v>2239</v>
      </c>
      <c r="W29" s="3221"/>
      <c r="X29" s="3220"/>
      <c r="Y29" s="3220"/>
      <c r="Z29" s="3220"/>
      <c r="AA29" s="3220"/>
      <c r="AB29" s="3220"/>
      <c r="AC29" s="3220"/>
      <c r="AD29" s="3220"/>
      <c r="AE29" s="3220"/>
      <c r="AF29" s="3220"/>
      <c r="AG29" s="3220"/>
      <c r="AH29" s="3220"/>
      <c r="AI29" s="3220"/>
      <c r="AJ29" s="3220"/>
      <c r="AK29" s="3220"/>
      <c r="AL29" s="3220"/>
      <c r="AM29" s="3219"/>
      <c r="AN29" s="2606"/>
      <c r="AO29" s="2313"/>
    </row>
    <row r="30" spans="1:41" s="339" customFormat="1" ht="48.75" customHeight="1" x14ac:dyDescent="0.2">
      <c r="A30" s="1809"/>
      <c r="C30" s="1783"/>
      <c r="F30" s="1783"/>
      <c r="G30" s="2297">
        <v>2201071</v>
      </c>
      <c r="H30" s="2206" t="s">
        <v>2254</v>
      </c>
      <c r="I30" s="2247" t="s">
        <v>2255</v>
      </c>
      <c r="J30" s="2623" t="s">
        <v>2256</v>
      </c>
      <c r="K30" s="2491">
        <v>54</v>
      </c>
      <c r="L30" s="2204" t="s">
        <v>2257</v>
      </c>
      <c r="M30" s="2206" t="s">
        <v>2258</v>
      </c>
      <c r="N30" s="2247" t="s">
        <v>2259</v>
      </c>
      <c r="O30" s="3229">
        <f>SUM(T30:T33)/P30</f>
        <v>1</v>
      </c>
      <c r="P30" s="3240">
        <f>SUM(T30:T33)</f>
        <v>150688886883.94</v>
      </c>
      <c r="Q30" s="2321" t="s">
        <v>2260</v>
      </c>
      <c r="R30" s="2321" t="s">
        <v>2261</v>
      </c>
      <c r="S30" s="2247" t="s">
        <v>2262</v>
      </c>
      <c r="T30" s="2044">
        <f>55449435080</f>
        <v>55449435080</v>
      </c>
      <c r="U30" s="1675">
        <v>25</v>
      </c>
      <c r="V30" s="1638" t="s">
        <v>2263</v>
      </c>
      <c r="W30" s="3225">
        <v>20196</v>
      </c>
      <c r="X30" s="3217">
        <v>20595</v>
      </c>
      <c r="Y30" s="3217">
        <v>29775</v>
      </c>
      <c r="Z30" s="3217">
        <v>9453</v>
      </c>
      <c r="AA30" s="3217">
        <v>1396</v>
      </c>
      <c r="AB30" s="3217">
        <v>167</v>
      </c>
      <c r="AC30" s="3217">
        <v>274</v>
      </c>
      <c r="AD30" s="3217">
        <v>329</v>
      </c>
      <c r="AE30" s="3217">
        <v>0</v>
      </c>
      <c r="AF30" s="3217">
        <v>0</v>
      </c>
      <c r="AG30" s="3217">
        <v>0</v>
      </c>
      <c r="AH30" s="3217">
        <v>0</v>
      </c>
      <c r="AI30" s="3217">
        <v>3097</v>
      </c>
      <c r="AJ30" s="3217">
        <v>2611</v>
      </c>
      <c r="AK30" s="3217">
        <v>50</v>
      </c>
      <c r="AL30" s="3217">
        <f>+W30+X30</f>
        <v>40791</v>
      </c>
      <c r="AM30" s="3219">
        <v>43832</v>
      </c>
      <c r="AN30" s="3231">
        <v>44195</v>
      </c>
      <c r="AO30" s="2190" t="s">
        <v>2228</v>
      </c>
    </row>
    <row r="31" spans="1:41" s="339" customFormat="1" ht="51" customHeight="1" x14ac:dyDescent="0.2">
      <c r="A31" s="1809"/>
      <c r="C31" s="1783"/>
      <c r="F31" s="1783"/>
      <c r="G31" s="2298"/>
      <c r="H31" s="2206"/>
      <c r="I31" s="2247"/>
      <c r="J31" s="2623"/>
      <c r="K31" s="2491"/>
      <c r="L31" s="2204"/>
      <c r="M31" s="2206"/>
      <c r="N31" s="2247"/>
      <c r="O31" s="3230"/>
      <c r="P31" s="3240"/>
      <c r="Q31" s="2356"/>
      <c r="R31" s="2356"/>
      <c r="S31" s="2247"/>
      <c r="T31" s="2044">
        <f>13173537263</f>
        <v>13173537263</v>
      </c>
      <c r="U31" s="1675">
        <v>26</v>
      </c>
      <c r="V31" s="1638" t="s">
        <v>2263</v>
      </c>
      <c r="W31" s="3226"/>
      <c r="X31" s="3218"/>
      <c r="Y31" s="3218"/>
      <c r="Z31" s="3218"/>
      <c r="AA31" s="3218"/>
      <c r="AB31" s="3218"/>
      <c r="AC31" s="3218"/>
      <c r="AD31" s="3218"/>
      <c r="AE31" s="3218"/>
      <c r="AF31" s="3218"/>
      <c r="AG31" s="3218"/>
      <c r="AH31" s="3218"/>
      <c r="AI31" s="3218"/>
      <c r="AJ31" s="3218"/>
      <c r="AK31" s="3218"/>
      <c r="AL31" s="3218"/>
      <c r="AM31" s="3219"/>
      <c r="AN31" s="3232"/>
      <c r="AO31" s="2191"/>
    </row>
    <row r="32" spans="1:41" s="339" customFormat="1" ht="109.5" customHeight="1" x14ac:dyDescent="0.2">
      <c r="A32" s="1809"/>
      <c r="C32" s="1783"/>
      <c r="F32" s="1783"/>
      <c r="G32" s="2298"/>
      <c r="H32" s="2206"/>
      <c r="I32" s="2247"/>
      <c r="J32" s="2623"/>
      <c r="K32" s="2491"/>
      <c r="L32" s="2204"/>
      <c r="M32" s="2206"/>
      <c r="N32" s="2247"/>
      <c r="O32" s="3230"/>
      <c r="P32" s="3240"/>
      <c r="Q32" s="2356"/>
      <c r="R32" s="2356"/>
      <c r="S32" s="1653" t="s">
        <v>2264</v>
      </c>
      <c r="T32" s="2044">
        <f>82335686611+3059606733+320453954-4525664226</f>
        <v>81190083072</v>
      </c>
      <c r="U32" s="2049" t="s">
        <v>2265</v>
      </c>
      <c r="V32" s="1631" t="s">
        <v>2266</v>
      </c>
      <c r="W32" s="3226"/>
      <c r="X32" s="3218"/>
      <c r="Y32" s="3218"/>
      <c r="Z32" s="3218"/>
      <c r="AA32" s="3218"/>
      <c r="AB32" s="3218"/>
      <c r="AC32" s="3218"/>
      <c r="AD32" s="3218"/>
      <c r="AE32" s="3218"/>
      <c r="AF32" s="3218"/>
      <c r="AG32" s="3218"/>
      <c r="AH32" s="3218"/>
      <c r="AI32" s="3218"/>
      <c r="AJ32" s="3218"/>
      <c r="AK32" s="3218"/>
      <c r="AL32" s="3218"/>
      <c r="AM32" s="3219"/>
      <c r="AN32" s="3232"/>
      <c r="AO32" s="2191"/>
    </row>
    <row r="33" spans="1:41" s="339" customFormat="1" ht="121.5" customHeight="1" x14ac:dyDescent="0.2">
      <c r="A33" s="1809"/>
      <c r="C33" s="1783"/>
      <c r="F33" s="1783"/>
      <c r="G33" s="2299"/>
      <c r="H33" s="2206"/>
      <c r="I33" s="2247"/>
      <c r="J33" s="2623"/>
      <c r="K33" s="2491"/>
      <c r="L33" s="2204"/>
      <c r="M33" s="2206"/>
      <c r="N33" s="2247"/>
      <c r="O33" s="3230"/>
      <c r="P33" s="3240"/>
      <c r="Q33" s="2320"/>
      <c r="R33" s="2320"/>
      <c r="S33" s="1653" t="s">
        <v>2267</v>
      </c>
      <c r="T33" s="2044">
        <f>962476510.94-86645042</f>
        <v>875831468.94000006</v>
      </c>
      <c r="U33" s="2050" t="s">
        <v>2268</v>
      </c>
      <c r="V33" s="1637" t="s">
        <v>2269</v>
      </c>
      <c r="W33" s="3227"/>
      <c r="X33" s="3228"/>
      <c r="Y33" s="3228"/>
      <c r="Z33" s="3228"/>
      <c r="AA33" s="3228"/>
      <c r="AB33" s="3228"/>
      <c r="AC33" s="3228"/>
      <c r="AD33" s="3228"/>
      <c r="AE33" s="3228"/>
      <c r="AF33" s="3228"/>
      <c r="AG33" s="3228"/>
      <c r="AH33" s="3228"/>
      <c r="AI33" s="3228"/>
      <c r="AJ33" s="3228"/>
      <c r="AK33" s="3228"/>
      <c r="AL33" s="3228"/>
      <c r="AM33" s="3219"/>
      <c r="AN33" s="3233"/>
      <c r="AO33" s="2257"/>
    </row>
    <row r="34" spans="1:41" s="339" customFormat="1" ht="46.5" customHeight="1" x14ac:dyDescent="0.2">
      <c r="A34" s="1809"/>
      <c r="C34" s="1783"/>
      <c r="F34" s="1783"/>
      <c r="G34" s="2297">
        <v>2201071</v>
      </c>
      <c r="H34" s="2300" t="s">
        <v>2254</v>
      </c>
      <c r="I34" s="3235" t="s">
        <v>2255</v>
      </c>
      <c r="J34" s="3238" t="s">
        <v>2256</v>
      </c>
      <c r="K34" s="2491">
        <v>54</v>
      </c>
      <c r="L34" s="2203" t="s">
        <v>2270</v>
      </c>
      <c r="M34" s="2326" t="s">
        <v>2271</v>
      </c>
      <c r="N34" s="2286" t="s">
        <v>2272</v>
      </c>
      <c r="O34" s="2648">
        <f>SUM(T34:T38)/P34</f>
        <v>1</v>
      </c>
      <c r="P34" s="3244">
        <f>SUM(T34:T38)</f>
        <v>2291845202</v>
      </c>
      <c r="Q34" s="2286" t="s">
        <v>2273</v>
      </c>
      <c r="R34" s="2286" t="s">
        <v>2274</v>
      </c>
      <c r="S34" s="1701" t="s">
        <v>2275</v>
      </c>
      <c r="T34" s="2051">
        <v>1754977313</v>
      </c>
      <c r="U34" s="3246" t="s">
        <v>2276</v>
      </c>
      <c r="V34" s="2319" t="s">
        <v>2277</v>
      </c>
      <c r="W34" s="3241">
        <v>20196</v>
      </c>
      <c r="X34" s="3217">
        <v>20595</v>
      </c>
      <c r="Y34" s="3217">
        <v>29775</v>
      </c>
      <c r="Z34" s="3217">
        <v>9453</v>
      </c>
      <c r="AA34" s="3217">
        <v>1396</v>
      </c>
      <c r="AB34" s="3217">
        <v>167</v>
      </c>
      <c r="AC34" s="3217">
        <v>274</v>
      </c>
      <c r="AD34" s="3217">
        <v>329</v>
      </c>
      <c r="AE34" s="3217">
        <v>0</v>
      </c>
      <c r="AF34" s="3217">
        <v>0</v>
      </c>
      <c r="AG34" s="3217">
        <v>0</v>
      </c>
      <c r="AH34" s="3217">
        <v>0</v>
      </c>
      <c r="AI34" s="3217">
        <v>3097</v>
      </c>
      <c r="AJ34" s="3217">
        <v>2611</v>
      </c>
      <c r="AK34" s="3217">
        <v>50</v>
      </c>
      <c r="AL34" s="3217">
        <f>+W34+X34</f>
        <v>40791</v>
      </c>
      <c r="AM34" s="3219">
        <v>43832</v>
      </c>
      <c r="AN34" s="3231">
        <v>44195</v>
      </c>
      <c r="AO34" s="2190" t="s">
        <v>2228</v>
      </c>
    </row>
    <row r="35" spans="1:41" s="339" customFormat="1" ht="27.75" customHeight="1" x14ac:dyDescent="0.2">
      <c r="A35" s="1809"/>
      <c r="C35" s="1783"/>
      <c r="F35" s="1783"/>
      <c r="G35" s="2298"/>
      <c r="H35" s="2301"/>
      <c r="I35" s="3236"/>
      <c r="J35" s="3239"/>
      <c r="K35" s="2491"/>
      <c r="L35" s="2204"/>
      <c r="M35" s="2326"/>
      <c r="N35" s="2286"/>
      <c r="O35" s="2648"/>
      <c r="P35" s="3244"/>
      <c r="Q35" s="2286"/>
      <c r="R35" s="2286"/>
      <c r="S35" s="1709" t="s">
        <v>2278</v>
      </c>
      <c r="T35" s="2031">
        <v>22440000</v>
      </c>
      <c r="U35" s="3247"/>
      <c r="V35" s="2571"/>
      <c r="W35" s="3242"/>
      <c r="X35" s="3218"/>
      <c r="Y35" s="3218"/>
      <c r="Z35" s="3218"/>
      <c r="AA35" s="3218"/>
      <c r="AB35" s="3218"/>
      <c r="AC35" s="3218"/>
      <c r="AD35" s="3218"/>
      <c r="AE35" s="3218"/>
      <c r="AF35" s="3218"/>
      <c r="AG35" s="3218"/>
      <c r="AH35" s="3218"/>
      <c r="AI35" s="3218"/>
      <c r="AJ35" s="3218"/>
      <c r="AK35" s="3218"/>
      <c r="AL35" s="3218"/>
      <c r="AM35" s="3219"/>
      <c r="AN35" s="3232"/>
      <c r="AO35" s="2191"/>
    </row>
    <row r="36" spans="1:41" s="339" customFormat="1" ht="27.75" customHeight="1" x14ac:dyDescent="0.2">
      <c r="A36" s="1809"/>
      <c r="C36" s="1783"/>
      <c r="F36" s="1783"/>
      <c r="G36" s="2298"/>
      <c r="H36" s="2301"/>
      <c r="I36" s="3236"/>
      <c r="J36" s="3239"/>
      <c r="K36" s="2491"/>
      <c r="L36" s="2204"/>
      <c r="M36" s="2326"/>
      <c r="N36" s="2286"/>
      <c r="O36" s="2648"/>
      <c r="P36" s="3244"/>
      <c r="Q36" s="2286"/>
      <c r="R36" s="2286"/>
      <c r="S36" s="1709" t="s">
        <v>2279</v>
      </c>
      <c r="T36" s="2031">
        <v>505906772</v>
      </c>
      <c r="U36" s="3247"/>
      <c r="V36" s="2571"/>
      <c r="W36" s="3242"/>
      <c r="X36" s="3218"/>
      <c r="Y36" s="3218"/>
      <c r="Z36" s="3218"/>
      <c r="AA36" s="3218"/>
      <c r="AB36" s="3218"/>
      <c r="AC36" s="3218"/>
      <c r="AD36" s="3218"/>
      <c r="AE36" s="3218"/>
      <c r="AF36" s="3218"/>
      <c r="AG36" s="3218"/>
      <c r="AH36" s="3218"/>
      <c r="AI36" s="3218"/>
      <c r="AJ36" s="3218"/>
      <c r="AK36" s="3218"/>
      <c r="AL36" s="3218"/>
      <c r="AM36" s="3219"/>
      <c r="AN36" s="3232"/>
      <c r="AO36" s="2191"/>
    </row>
    <row r="37" spans="1:41" s="339" customFormat="1" ht="27.75" customHeight="1" x14ac:dyDescent="0.2">
      <c r="A37" s="1809"/>
      <c r="C37" s="1783"/>
      <c r="F37" s="1783"/>
      <c r="G37" s="2298"/>
      <c r="H37" s="2301"/>
      <c r="I37" s="3236"/>
      <c r="J37" s="3239"/>
      <c r="K37" s="2491"/>
      <c r="L37" s="2204"/>
      <c r="M37" s="2326"/>
      <c r="N37" s="2286"/>
      <c r="O37" s="2648"/>
      <c r="P37" s="3244"/>
      <c r="Q37" s="2286"/>
      <c r="R37" s="2286"/>
      <c r="S37" s="1709" t="s">
        <v>2280</v>
      </c>
      <c r="T37" s="2031">
        <v>5000000</v>
      </c>
      <c r="U37" s="3247"/>
      <c r="V37" s="2571"/>
      <c r="W37" s="3242"/>
      <c r="X37" s="3218"/>
      <c r="Y37" s="3218"/>
      <c r="Z37" s="3218"/>
      <c r="AA37" s="3218"/>
      <c r="AB37" s="3218"/>
      <c r="AC37" s="3218"/>
      <c r="AD37" s="3218"/>
      <c r="AE37" s="3218"/>
      <c r="AF37" s="3218"/>
      <c r="AG37" s="3218"/>
      <c r="AH37" s="3218"/>
      <c r="AI37" s="3218"/>
      <c r="AJ37" s="3218"/>
      <c r="AK37" s="3218"/>
      <c r="AL37" s="3218"/>
      <c r="AM37" s="3219"/>
      <c r="AN37" s="3232"/>
      <c r="AO37" s="2191"/>
    </row>
    <row r="38" spans="1:41" s="339" customFormat="1" ht="36" customHeight="1" x14ac:dyDescent="0.2">
      <c r="A38" s="1809"/>
      <c r="C38" s="1783"/>
      <c r="F38" s="1783"/>
      <c r="G38" s="2299"/>
      <c r="H38" s="3234"/>
      <c r="I38" s="3237"/>
      <c r="J38" s="2956"/>
      <c r="K38" s="2491"/>
      <c r="L38" s="2742"/>
      <c r="M38" s="2326"/>
      <c r="N38" s="2286"/>
      <c r="O38" s="2648"/>
      <c r="P38" s="3245"/>
      <c r="Q38" s="2313"/>
      <c r="R38" s="2313"/>
      <c r="S38" s="2052" t="s">
        <v>2281</v>
      </c>
      <c r="T38" s="2031">
        <v>3521117</v>
      </c>
      <c r="U38" s="3248"/>
      <c r="V38" s="2205"/>
      <c r="W38" s="3243"/>
      <c r="X38" s="3228"/>
      <c r="Y38" s="3228"/>
      <c r="Z38" s="3228"/>
      <c r="AA38" s="3228"/>
      <c r="AB38" s="3228"/>
      <c r="AC38" s="3228"/>
      <c r="AD38" s="3228"/>
      <c r="AE38" s="3228"/>
      <c r="AF38" s="3228"/>
      <c r="AG38" s="3228"/>
      <c r="AH38" s="3228"/>
      <c r="AI38" s="3228"/>
      <c r="AJ38" s="3228"/>
      <c r="AK38" s="3228"/>
      <c r="AL38" s="3228"/>
      <c r="AM38" s="3219"/>
      <c r="AN38" s="3233"/>
      <c r="AO38" s="2257"/>
    </row>
    <row r="39" spans="1:41" s="339" customFormat="1" ht="49.5" customHeight="1" x14ac:dyDescent="0.2">
      <c r="A39" s="1809"/>
      <c r="C39" s="1783"/>
      <c r="F39" s="1783"/>
      <c r="G39" s="2297">
        <v>2201006</v>
      </c>
      <c r="H39" s="2206" t="s">
        <v>2282</v>
      </c>
      <c r="I39" s="2247" t="s">
        <v>2283</v>
      </c>
      <c r="J39" s="2623" t="s">
        <v>2284</v>
      </c>
      <c r="K39" s="2491">
        <v>54</v>
      </c>
      <c r="L39" s="2204" t="s">
        <v>2285</v>
      </c>
      <c r="M39" s="2206" t="s">
        <v>2286</v>
      </c>
      <c r="N39" s="2623" t="s">
        <v>2287</v>
      </c>
      <c r="O39" s="3230">
        <f>SUM(T39:T40)/P39</f>
        <v>3.4580457306659436E-2</v>
      </c>
      <c r="P39" s="3250">
        <f>SUM(T39:T53)</f>
        <v>2227269475.27</v>
      </c>
      <c r="Q39" s="2285" t="s">
        <v>2288</v>
      </c>
      <c r="R39" s="2633" t="s">
        <v>2289</v>
      </c>
      <c r="S39" s="1661" t="s">
        <v>2290</v>
      </c>
      <c r="T39" s="2053">
        <f>20600000</f>
        <v>20600000</v>
      </c>
      <c r="U39" s="1639">
        <v>20</v>
      </c>
      <c r="V39" s="1638" t="s">
        <v>365</v>
      </c>
      <c r="W39" s="3225">
        <v>20196</v>
      </c>
      <c r="X39" s="3217">
        <v>20595</v>
      </c>
      <c r="Y39" s="3217">
        <v>29775</v>
      </c>
      <c r="Z39" s="3217">
        <v>9453</v>
      </c>
      <c r="AA39" s="3217">
        <v>1396</v>
      </c>
      <c r="AB39" s="3217">
        <v>167</v>
      </c>
      <c r="AC39" s="3217">
        <v>274</v>
      </c>
      <c r="AD39" s="3217">
        <v>329</v>
      </c>
      <c r="AE39" s="3217">
        <v>0</v>
      </c>
      <c r="AF39" s="3217">
        <v>0</v>
      </c>
      <c r="AG39" s="3217">
        <v>0</v>
      </c>
      <c r="AH39" s="3217">
        <v>0</v>
      </c>
      <c r="AI39" s="3217">
        <v>3097</v>
      </c>
      <c r="AJ39" s="3217">
        <v>2611</v>
      </c>
      <c r="AK39" s="3217">
        <v>50</v>
      </c>
      <c r="AL39" s="3217">
        <f>+W39+X39</f>
        <v>40791</v>
      </c>
      <c r="AM39" s="3219">
        <v>43832</v>
      </c>
      <c r="AN39" s="2604">
        <v>44195</v>
      </c>
      <c r="AO39" s="2190" t="s">
        <v>2228</v>
      </c>
    </row>
    <row r="40" spans="1:41" s="339" customFormat="1" ht="93" customHeight="1" x14ac:dyDescent="0.2">
      <c r="A40" s="1809"/>
      <c r="C40" s="1783"/>
      <c r="F40" s="1783"/>
      <c r="G40" s="2299"/>
      <c r="H40" s="2206"/>
      <c r="I40" s="2247"/>
      <c r="J40" s="2623"/>
      <c r="K40" s="2491"/>
      <c r="L40" s="2204"/>
      <c r="M40" s="2206"/>
      <c r="N40" s="2623"/>
      <c r="O40" s="3230"/>
      <c r="P40" s="3211"/>
      <c r="Q40" s="2286"/>
      <c r="R40" s="2634"/>
      <c r="S40" s="1645" t="s">
        <v>2291</v>
      </c>
      <c r="T40" s="2038">
        <v>56419997</v>
      </c>
      <c r="U40" s="1684">
        <v>20</v>
      </c>
      <c r="V40" s="1638" t="s">
        <v>365</v>
      </c>
      <c r="W40" s="3226"/>
      <c r="X40" s="3218"/>
      <c r="Y40" s="3218"/>
      <c r="Z40" s="3218"/>
      <c r="AA40" s="3218"/>
      <c r="AB40" s="3218"/>
      <c r="AC40" s="3218"/>
      <c r="AD40" s="3218"/>
      <c r="AE40" s="3218"/>
      <c r="AF40" s="3218"/>
      <c r="AG40" s="3218"/>
      <c r="AH40" s="3218"/>
      <c r="AI40" s="3218"/>
      <c r="AJ40" s="3218"/>
      <c r="AK40" s="3218"/>
      <c r="AL40" s="3218"/>
      <c r="AM40" s="3219"/>
      <c r="AN40" s="2605"/>
      <c r="AO40" s="2191"/>
    </row>
    <row r="41" spans="1:41" s="339" customFormat="1" ht="93" customHeight="1" x14ac:dyDescent="0.2">
      <c r="A41" s="1809"/>
      <c r="C41" s="1783"/>
      <c r="F41" s="1783"/>
      <c r="G41" s="2054">
        <v>2201033</v>
      </c>
      <c r="H41" s="1632" t="s">
        <v>2292</v>
      </c>
      <c r="I41" s="1653" t="s">
        <v>2220</v>
      </c>
      <c r="J41" s="1703" t="s">
        <v>2221</v>
      </c>
      <c r="K41" s="2046">
        <v>9000</v>
      </c>
      <c r="L41" s="2204"/>
      <c r="M41" s="2206"/>
      <c r="N41" s="2623"/>
      <c r="O41" s="2043">
        <f>T41/P39</f>
        <v>4.1831000260399848E-3</v>
      </c>
      <c r="P41" s="3211"/>
      <c r="Q41" s="2286"/>
      <c r="R41" s="2634"/>
      <c r="S41" s="1653" t="s">
        <v>2293</v>
      </c>
      <c r="T41" s="2038">
        <v>9316891</v>
      </c>
      <c r="U41" s="1671">
        <v>21</v>
      </c>
      <c r="V41" s="1632" t="s">
        <v>2294</v>
      </c>
      <c r="W41" s="3226"/>
      <c r="X41" s="3218"/>
      <c r="Y41" s="3218"/>
      <c r="Z41" s="3218"/>
      <c r="AA41" s="3218"/>
      <c r="AB41" s="3218"/>
      <c r="AC41" s="3218"/>
      <c r="AD41" s="3218"/>
      <c r="AE41" s="3218"/>
      <c r="AF41" s="3218"/>
      <c r="AG41" s="3218"/>
      <c r="AH41" s="3218"/>
      <c r="AI41" s="3218"/>
      <c r="AJ41" s="3218"/>
      <c r="AK41" s="3218"/>
      <c r="AL41" s="3218"/>
      <c r="AM41" s="3219"/>
      <c r="AN41" s="2605"/>
      <c r="AO41" s="2191"/>
    </row>
    <row r="42" spans="1:41" s="339" customFormat="1" ht="93" customHeight="1" x14ac:dyDescent="0.2">
      <c r="A42" s="1809"/>
      <c r="C42" s="1783"/>
      <c r="F42" s="1783"/>
      <c r="G42" s="2054">
        <v>2201068</v>
      </c>
      <c r="H42" s="1632" t="s">
        <v>1511</v>
      </c>
      <c r="I42" s="1653" t="s">
        <v>1512</v>
      </c>
      <c r="J42" s="1703" t="s">
        <v>1513</v>
      </c>
      <c r="K42" s="1720">
        <v>48</v>
      </c>
      <c r="L42" s="2204"/>
      <c r="M42" s="2206"/>
      <c r="N42" s="2623"/>
      <c r="O42" s="2043">
        <f>T42/P39</f>
        <v>1.228295377086493E-2</v>
      </c>
      <c r="P42" s="3211"/>
      <c r="Q42" s="2286"/>
      <c r="R42" s="2634"/>
      <c r="S42" s="1653" t="s">
        <v>2295</v>
      </c>
      <c r="T42" s="2038">
        <f>34778000-5243865-2176687</f>
        <v>27357448</v>
      </c>
      <c r="U42" s="1671">
        <v>88</v>
      </c>
      <c r="V42" s="1632" t="s">
        <v>2229</v>
      </c>
      <c r="W42" s="3226"/>
      <c r="X42" s="3218"/>
      <c r="Y42" s="3218"/>
      <c r="Z42" s="3218"/>
      <c r="AA42" s="3218"/>
      <c r="AB42" s="3218"/>
      <c r="AC42" s="3218"/>
      <c r="AD42" s="3218"/>
      <c r="AE42" s="3218"/>
      <c r="AF42" s="3218"/>
      <c r="AG42" s="3218"/>
      <c r="AH42" s="3218"/>
      <c r="AI42" s="3218"/>
      <c r="AJ42" s="3218"/>
      <c r="AK42" s="3218"/>
      <c r="AL42" s="3218"/>
      <c r="AM42" s="3219"/>
      <c r="AN42" s="2605"/>
      <c r="AO42" s="2191"/>
    </row>
    <row r="43" spans="1:41" s="339" customFormat="1" ht="93" customHeight="1" x14ac:dyDescent="0.2">
      <c r="A43" s="1809"/>
      <c r="C43" s="1783"/>
      <c r="F43" s="1783"/>
      <c r="G43" s="2054">
        <v>2201046</v>
      </c>
      <c r="H43" s="1632" t="s">
        <v>2296</v>
      </c>
      <c r="I43" s="1653" t="s">
        <v>2297</v>
      </c>
      <c r="J43" s="1703" t="s">
        <v>2298</v>
      </c>
      <c r="K43" s="1675">
        <v>5</v>
      </c>
      <c r="L43" s="2204"/>
      <c r="M43" s="2206"/>
      <c r="N43" s="2623"/>
      <c r="O43" s="2043">
        <f>T43/P39</f>
        <v>2.4244933358795245E-3</v>
      </c>
      <c r="P43" s="3211"/>
      <c r="Q43" s="2286"/>
      <c r="R43" s="2634"/>
      <c r="S43" s="1653" t="s">
        <v>2299</v>
      </c>
      <c r="T43" s="2041">
        <v>5400000</v>
      </c>
      <c r="U43" s="1671">
        <v>20</v>
      </c>
      <c r="V43" s="1632" t="s">
        <v>365</v>
      </c>
      <c r="W43" s="3226"/>
      <c r="X43" s="3218"/>
      <c r="Y43" s="3218"/>
      <c r="Z43" s="3218"/>
      <c r="AA43" s="3218"/>
      <c r="AB43" s="3218"/>
      <c r="AC43" s="3218"/>
      <c r="AD43" s="3218"/>
      <c r="AE43" s="3218"/>
      <c r="AF43" s="3218"/>
      <c r="AG43" s="3218"/>
      <c r="AH43" s="3218"/>
      <c r="AI43" s="3218"/>
      <c r="AJ43" s="3218"/>
      <c r="AK43" s="3218"/>
      <c r="AL43" s="3218"/>
      <c r="AM43" s="3219"/>
      <c r="AN43" s="2605"/>
      <c r="AO43" s="2191"/>
    </row>
    <row r="44" spans="1:41" s="339" customFormat="1" ht="51.75" customHeight="1" x14ac:dyDescent="0.2">
      <c r="A44" s="1809"/>
      <c r="C44" s="1783"/>
      <c r="F44" s="1783"/>
      <c r="G44" s="2297" t="s">
        <v>52</v>
      </c>
      <c r="H44" s="2319" t="s">
        <v>1321</v>
      </c>
      <c r="I44" s="2321" t="s">
        <v>2300</v>
      </c>
      <c r="J44" s="2474" t="s">
        <v>580</v>
      </c>
      <c r="K44" s="2491">
        <v>9</v>
      </c>
      <c r="L44" s="2204"/>
      <c r="M44" s="2206"/>
      <c r="N44" s="2623"/>
      <c r="O44" s="3229">
        <f>SUM(T44:T48)/P39</f>
        <v>0.8211548619631166</v>
      </c>
      <c r="P44" s="3211"/>
      <c r="Q44" s="2286"/>
      <c r="R44" s="2634"/>
      <c r="S44" s="1644" t="s">
        <v>2301</v>
      </c>
      <c r="T44" s="2041">
        <f>18360000</f>
        <v>18360000</v>
      </c>
      <c r="U44" s="1671">
        <v>20</v>
      </c>
      <c r="V44" s="1632" t="s">
        <v>365</v>
      </c>
      <c r="W44" s="3226"/>
      <c r="X44" s="3218"/>
      <c r="Y44" s="3218"/>
      <c r="Z44" s="3218"/>
      <c r="AA44" s="3218"/>
      <c r="AB44" s="3218"/>
      <c r="AC44" s="3218"/>
      <c r="AD44" s="3218"/>
      <c r="AE44" s="3218"/>
      <c r="AF44" s="3218"/>
      <c r="AG44" s="3218"/>
      <c r="AH44" s="3218"/>
      <c r="AI44" s="3218"/>
      <c r="AJ44" s="3218"/>
      <c r="AK44" s="3218"/>
      <c r="AL44" s="3218"/>
      <c r="AM44" s="3219"/>
      <c r="AN44" s="2605"/>
      <c r="AO44" s="2191"/>
    </row>
    <row r="45" spans="1:41" s="339" customFormat="1" ht="35.25" customHeight="1" x14ac:dyDescent="0.2">
      <c r="A45" s="1809"/>
      <c r="C45" s="1783"/>
      <c r="F45" s="1783"/>
      <c r="G45" s="2298"/>
      <c r="H45" s="2571"/>
      <c r="I45" s="2356"/>
      <c r="J45" s="2574"/>
      <c r="K45" s="2491"/>
      <c r="L45" s="2204"/>
      <c r="M45" s="2206"/>
      <c r="N45" s="2623"/>
      <c r="O45" s="3229"/>
      <c r="P45" s="3211"/>
      <c r="Q45" s="2286"/>
      <c r="R45" s="2634"/>
      <c r="S45" s="2871" t="s">
        <v>2302</v>
      </c>
      <c r="T45" s="3254">
        <v>1791506530</v>
      </c>
      <c r="U45" s="2969">
        <v>173</v>
      </c>
      <c r="V45" s="3258" t="s">
        <v>2303</v>
      </c>
      <c r="W45" s="3226"/>
      <c r="X45" s="3218"/>
      <c r="Y45" s="3218"/>
      <c r="Z45" s="3218"/>
      <c r="AA45" s="3218"/>
      <c r="AB45" s="3218"/>
      <c r="AC45" s="3218"/>
      <c r="AD45" s="3218"/>
      <c r="AE45" s="3218"/>
      <c r="AF45" s="3218"/>
      <c r="AG45" s="3218"/>
      <c r="AH45" s="3218"/>
      <c r="AI45" s="3218"/>
      <c r="AJ45" s="3218"/>
      <c r="AK45" s="3218"/>
      <c r="AL45" s="3218"/>
      <c r="AM45" s="3219"/>
      <c r="AN45" s="2605"/>
      <c r="AO45" s="2191"/>
    </row>
    <row r="46" spans="1:41" s="339" customFormat="1" ht="42.75" customHeight="1" x14ac:dyDescent="0.2">
      <c r="A46" s="1809"/>
      <c r="C46" s="1783"/>
      <c r="F46" s="1783"/>
      <c r="G46" s="2298"/>
      <c r="H46" s="2571"/>
      <c r="I46" s="2356"/>
      <c r="J46" s="2574"/>
      <c r="K46" s="2491"/>
      <c r="L46" s="2204"/>
      <c r="M46" s="2206"/>
      <c r="N46" s="2623"/>
      <c r="O46" s="3229"/>
      <c r="P46" s="3211"/>
      <c r="Q46" s="2286"/>
      <c r="R46" s="2634"/>
      <c r="S46" s="3253"/>
      <c r="T46" s="3255"/>
      <c r="U46" s="2966"/>
      <c r="V46" s="3259"/>
      <c r="W46" s="3226"/>
      <c r="X46" s="3218"/>
      <c r="Y46" s="3218"/>
      <c r="Z46" s="3218"/>
      <c r="AA46" s="3218"/>
      <c r="AB46" s="3218"/>
      <c r="AC46" s="3218"/>
      <c r="AD46" s="3218"/>
      <c r="AE46" s="3218"/>
      <c r="AF46" s="3218"/>
      <c r="AG46" s="3218"/>
      <c r="AH46" s="3218"/>
      <c r="AI46" s="3218"/>
      <c r="AJ46" s="3218"/>
      <c r="AK46" s="3218"/>
      <c r="AL46" s="3218"/>
      <c r="AM46" s="3219"/>
      <c r="AN46" s="2605"/>
      <c r="AO46" s="2191"/>
    </row>
    <row r="47" spans="1:41" s="339" customFormat="1" ht="40.5" customHeight="1" x14ac:dyDescent="0.2">
      <c r="A47" s="1809"/>
      <c r="C47" s="1783"/>
      <c r="F47" s="1783"/>
      <c r="G47" s="2298"/>
      <c r="H47" s="2571"/>
      <c r="I47" s="2356"/>
      <c r="J47" s="2574"/>
      <c r="K47" s="2491"/>
      <c r="L47" s="2204"/>
      <c r="M47" s="2206"/>
      <c r="N47" s="2623"/>
      <c r="O47" s="3230"/>
      <c r="P47" s="3211"/>
      <c r="Q47" s="2286"/>
      <c r="R47" s="2634"/>
      <c r="S47" s="2321" t="s">
        <v>2304</v>
      </c>
      <c r="T47" s="2041">
        <v>12426628.52</v>
      </c>
      <c r="U47" s="1671">
        <v>21</v>
      </c>
      <c r="V47" s="1632" t="s">
        <v>2294</v>
      </c>
      <c r="W47" s="3226"/>
      <c r="X47" s="3218"/>
      <c r="Y47" s="3218"/>
      <c r="Z47" s="3218"/>
      <c r="AA47" s="3218"/>
      <c r="AB47" s="3218"/>
      <c r="AC47" s="3218"/>
      <c r="AD47" s="3218"/>
      <c r="AE47" s="3218"/>
      <c r="AF47" s="3218"/>
      <c r="AG47" s="3218"/>
      <c r="AH47" s="3218"/>
      <c r="AI47" s="3218"/>
      <c r="AJ47" s="3218"/>
      <c r="AK47" s="3218"/>
      <c r="AL47" s="3218"/>
      <c r="AM47" s="3219"/>
      <c r="AN47" s="2605"/>
      <c r="AO47" s="2191"/>
    </row>
    <row r="48" spans="1:41" s="339" customFormat="1" ht="39.75" customHeight="1" x14ac:dyDescent="0.2">
      <c r="A48" s="1809"/>
      <c r="C48" s="1783"/>
      <c r="F48" s="1783"/>
      <c r="G48" s="2299"/>
      <c r="H48" s="2205"/>
      <c r="I48" s="2320"/>
      <c r="J48" s="2475"/>
      <c r="K48" s="2491"/>
      <c r="L48" s="2204"/>
      <c r="M48" s="2206"/>
      <c r="N48" s="2623"/>
      <c r="O48" s="3230"/>
      <c r="P48" s="3211"/>
      <c r="Q48" s="2286"/>
      <c r="R48" s="2634"/>
      <c r="S48" s="2320"/>
      <c r="T48" s="2041">
        <v>6640000</v>
      </c>
      <c r="U48" s="1671">
        <v>20</v>
      </c>
      <c r="V48" s="1632" t="s">
        <v>365</v>
      </c>
      <c r="W48" s="3226"/>
      <c r="X48" s="3218"/>
      <c r="Y48" s="3218"/>
      <c r="Z48" s="3218"/>
      <c r="AA48" s="3218"/>
      <c r="AB48" s="3218"/>
      <c r="AC48" s="3218"/>
      <c r="AD48" s="3218"/>
      <c r="AE48" s="3218"/>
      <c r="AF48" s="3218"/>
      <c r="AG48" s="3218"/>
      <c r="AH48" s="3218"/>
      <c r="AI48" s="3218"/>
      <c r="AJ48" s="3218"/>
      <c r="AK48" s="3218"/>
      <c r="AL48" s="3218"/>
      <c r="AM48" s="3219"/>
      <c r="AN48" s="2605"/>
      <c r="AO48" s="2191"/>
    </row>
    <row r="49" spans="1:41" s="339" customFormat="1" ht="28.5" customHeight="1" x14ac:dyDescent="0.2">
      <c r="A49" s="1809"/>
      <c r="C49" s="1783"/>
      <c r="F49" s="1783"/>
      <c r="G49" s="2297">
        <v>2201026</v>
      </c>
      <c r="H49" s="2206" t="s">
        <v>2305</v>
      </c>
      <c r="I49" s="2247" t="s">
        <v>2306</v>
      </c>
      <c r="J49" s="2623" t="s">
        <v>2307</v>
      </c>
      <c r="K49" s="2491">
        <v>5</v>
      </c>
      <c r="L49" s="2204"/>
      <c r="M49" s="2206"/>
      <c r="N49" s="2623"/>
      <c r="O49" s="3230">
        <f>SUM(T49:T53)/P39</f>
        <v>0.12537413359743951</v>
      </c>
      <c r="P49" s="3211"/>
      <c r="Q49" s="2286"/>
      <c r="R49" s="2634"/>
      <c r="S49" s="2321" t="s">
        <v>2308</v>
      </c>
      <c r="T49" s="2038">
        <f>63201500.09+5243865+2176687</f>
        <v>70622052.090000004</v>
      </c>
      <c r="U49" s="1671">
        <v>88</v>
      </c>
      <c r="V49" s="1632" t="s">
        <v>2229</v>
      </c>
      <c r="W49" s="3226"/>
      <c r="X49" s="3218"/>
      <c r="Y49" s="3218"/>
      <c r="Z49" s="3218"/>
      <c r="AA49" s="3218"/>
      <c r="AB49" s="3218"/>
      <c r="AC49" s="3218"/>
      <c r="AD49" s="3218"/>
      <c r="AE49" s="3218"/>
      <c r="AF49" s="3218"/>
      <c r="AG49" s="3218"/>
      <c r="AH49" s="3218"/>
      <c r="AI49" s="3218"/>
      <c r="AJ49" s="3218"/>
      <c r="AK49" s="3218"/>
      <c r="AL49" s="3218"/>
      <c r="AM49" s="3219"/>
      <c r="AN49" s="2605"/>
      <c r="AO49" s="2191"/>
    </row>
    <row r="50" spans="1:41" s="339" customFormat="1" ht="39.75" customHeight="1" x14ac:dyDescent="0.2">
      <c r="A50" s="1809"/>
      <c r="C50" s="1783"/>
      <c r="F50" s="1783"/>
      <c r="G50" s="2298"/>
      <c r="H50" s="2206"/>
      <c r="I50" s="2247"/>
      <c r="J50" s="2623"/>
      <c r="K50" s="2491"/>
      <c r="L50" s="2204"/>
      <c r="M50" s="2206"/>
      <c r="N50" s="2623"/>
      <c r="O50" s="3230"/>
      <c r="P50" s="3211"/>
      <c r="Q50" s="2286"/>
      <c r="R50" s="2634"/>
      <c r="S50" s="2356"/>
      <c r="T50" s="2038">
        <v>10728918.960000001</v>
      </c>
      <c r="U50" s="1671">
        <v>21</v>
      </c>
      <c r="V50" s="1632" t="s">
        <v>2294</v>
      </c>
      <c r="W50" s="3226"/>
      <c r="X50" s="3218"/>
      <c r="Y50" s="3218"/>
      <c r="Z50" s="3218"/>
      <c r="AA50" s="3218"/>
      <c r="AB50" s="3218"/>
      <c r="AC50" s="3218"/>
      <c r="AD50" s="3218"/>
      <c r="AE50" s="3218"/>
      <c r="AF50" s="3218"/>
      <c r="AG50" s="3218"/>
      <c r="AH50" s="3218"/>
      <c r="AI50" s="3218"/>
      <c r="AJ50" s="3218"/>
      <c r="AK50" s="3218"/>
      <c r="AL50" s="3218"/>
      <c r="AM50" s="3219"/>
      <c r="AN50" s="2605"/>
      <c r="AO50" s="2191"/>
    </row>
    <row r="51" spans="1:41" s="339" customFormat="1" ht="32.25" customHeight="1" x14ac:dyDescent="0.2">
      <c r="A51" s="1809"/>
      <c r="C51" s="1783"/>
      <c r="F51" s="1783"/>
      <c r="G51" s="2298"/>
      <c r="H51" s="2206"/>
      <c r="I51" s="2247"/>
      <c r="J51" s="2623"/>
      <c r="K51" s="2491"/>
      <c r="L51" s="2204"/>
      <c r="M51" s="2206"/>
      <c r="N51" s="2623"/>
      <c r="O51" s="3230"/>
      <c r="P51" s="3211"/>
      <c r="Q51" s="2286"/>
      <c r="R51" s="2634"/>
      <c r="S51" s="2356"/>
      <c r="T51" s="2038">
        <f>0+756135+5333335</f>
        <v>6089470</v>
      </c>
      <c r="U51" s="1671">
        <v>20</v>
      </c>
      <c r="V51" s="1632" t="s">
        <v>365</v>
      </c>
      <c r="W51" s="3226"/>
      <c r="X51" s="3218"/>
      <c r="Y51" s="3218"/>
      <c r="Z51" s="3218"/>
      <c r="AA51" s="3218"/>
      <c r="AB51" s="3218"/>
      <c r="AC51" s="3218"/>
      <c r="AD51" s="3218"/>
      <c r="AE51" s="3218"/>
      <c r="AF51" s="3218"/>
      <c r="AG51" s="3218"/>
      <c r="AH51" s="3218"/>
      <c r="AI51" s="3218"/>
      <c r="AJ51" s="3218"/>
      <c r="AK51" s="3218"/>
      <c r="AL51" s="3218"/>
      <c r="AM51" s="3219"/>
      <c r="AN51" s="2605"/>
      <c r="AO51" s="2191"/>
    </row>
    <row r="52" spans="1:41" s="339" customFormat="1" ht="35.25" customHeight="1" x14ac:dyDescent="0.2">
      <c r="A52" s="1809"/>
      <c r="C52" s="1783"/>
      <c r="F52" s="1783"/>
      <c r="G52" s="2298"/>
      <c r="H52" s="2206"/>
      <c r="I52" s="2247"/>
      <c r="J52" s="2623"/>
      <c r="K52" s="2491"/>
      <c r="L52" s="2204"/>
      <c r="M52" s="2206"/>
      <c r="N52" s="2623"/>
      <c r="O52" s="3230"/>
      <c r="P52" s="3211"/>
      <c r="Q52" s="2286"/>
      <c r="R52" s="2634"/>
      <c r="S52" s="2356"/>
      <c r="T52" s="2038">
        <v>174455946.69999999</v>
      </c>
      <c r="U52" s="1671">
        <v>91</v>
      </c>
      <c r="V52" s="1632" t="s">
        <v>2309</v>
      </c>
      <c r="W52" s="3226"/>
      <c r="X52" s="3218"/>
      <c r="Y52" s="3218"/>
      <c r="Z52" s="3218"/>
      <c r="AA52" s="3218"/>
      <c r="AB52" s="3218"/>
      <c r="AC52" s="3218"/>
      <c r="AD52" s="3218"/>
      <c r="AE52" s="3218"/>
      <c r="AF52" s="3218"/>
      <c r="AG52" s="3218"/>
      <c r="AH52" s="3218"/>
      <c r="AI52" s="3218"/>
      <c r="AJ52" s="3218"/>
      <c r="AK52" s="3218"/>
      <c r="AL52" s="3218"/>
      <c r="AM52" s="3219"/>
      <c r="AN52" s="2605"/>
      <c r="AO52" s="2191"/>
    </row>
    <row r="53" spans="1:41" s="339" customFormat="1" ht="26.25" customHeight="1" x14ac:dyDescent="0.2">
      <c r="A53" s="1809"/>
      <c r="C53" s="1783"/>
      <c r="F53" s="1783"/>
      <c r="G53" s="2299"/>
      <c r="H53" s="2319"/>
      <c r="I53" s="2321"/>
      <c r="J53" s="2474"/>
      <c r="K53" s="2491"/>
      <c r="L53" s="2742"/>
      <c r="M53" s="2319"/>
      <c r="N53" s="2474"/>
      <c r="O53" s="3260"/>
      <c r="P53" s="3211"/>
      <c r="Q53" s="3251"/>
      <c r="R53" s="3252"/>
      <c r="S53" s="2356"/>
      <c r="T53" s="2038">
        <v>17345593</v>
      </c>
      <c r="U53" s="1683">
        <v>25</v>
      </c>
      <c r="V53" s="1657" t="s">
        <v>2239</v>
      </c>
      <c r="W53" s="3257"/>
      <c r="X53" s="3249"/>
      <c r="Y53" s="3249"/>
      <c r="Z53" s="3249"/>
      <c r="AA53" s="3249"/>
      <c r="AB53" s="3249"/>
      <c r="AC53" s="3249"/>
      <c r="AD53" s="3249"/>
      <c r="AE53" s="3249"/>
      <c r="AF53" s="3249"/>
      <c r="AG53" s="3249"/>
      <c r="AH53" s="3249"/>
      <c r="AI53" s="3249"/>
      <c r="AJ53" s="3249"/>
      <c r="AK53" s="3249"/>
      <c r="AL53" s="3249"/>
      <c r="AM53" s="3219"/>
      <c r="AN53" s="3256"/>
      <c r="AO53" s="2257"/>
    </row>
    <row r="54" spans="1:41" s="339" customFormat="1" ht="83.25" customHeight="1" x14ac:dyDescent="0.2">
      <c r="A54" s="1809"/>
      <c r="C54" s="1783"/>
      <c r="F54" s="1783"/>
      <c r="G54" s="2297">
        <v>2201006</v>
      </c>
      <c r="H54" s="2301" t="s">
        <v>2282</v>
      </c>
      <c r="I54" s="2247" t="s">
        <v>2283</v>
      </c>
      <c r="J54" s="2623" t="s">
        <v>2284</v>
      </c>
      <c r="K54" s="2491">
        <v>54</v>
      </c>
      <c r="L54" s="2204" t="s">
        <v>2310</v>
      </c>
      <c r="M54" s="2206" t="s">
        <v>2311</v>
      </c>
      <c r="N54" s="2247" t="s">
        <v>2312</v>
      </c>
      <c r="O54" s="3230">
        <f>SUM(T54:T55)/P54</f>
        <v>1</v>
      </c>
      <c r="P54" s="3240">
        <f>SUM(T54:T55)</f>
        <v>20000000</v>
      </c>
      <c r="Q54" s="2321" t="s">
        <v>2313</v>
      </c>
      <c r="R54" s="2321" t="s">
        <v>2314</v>
      </c>
      <c r="S54" s="1653" t="s">
        <v>2315</v>
      </c>
      <c r="T54" s="2031">
        <f>19200000</f>
        <v>19200000</v>
      </c>
      <c r="U54" s="1632">
        <v>20</v>
      </c>
      <c r="V54" s="1632" t="s">
        <v>365</v>
      </c>
      <c r="W54" s="3262">
        <v>20196</v>
      </c>
      <c r="X54" s="3261">
        <v>20595</v>
      </c>
      <c r="Y54" s="3261">
        <v>29775</v>
      </c>
      <c r="Z54" s="3261">
        <v>9453</v>
      </c>
      <c r="AA54" s="3261">
        <v>1396</v>
      </c>
      <c r="AB54" s="3261">
        <v>167</v>
      </c>
      <c r="AC54" s="3261">
        <v>274</v>
      </c>
      <c r="AD54" s="3261">
        <v>329</v>
      </c>
      <c r="AE54" s="3261">
        <v>0</v>
      </c>
      <c r="AF54" s="3261">
        <v>0</v>
      </c>
      <c r="AG54" s="3261">
        <v>0</v>
      </c>
      <c r="AH54" s="3261">
        <v>0</v>
      </c>
      <c r="AI54" s="3261">
        <v>3097</v>
      </c>
      <c r="AJ54" s="3261">
        <v>2611</v>
      </c>
      <c r="AK54" s="3261">
        <v>50</v>
      </c>
      <c r="AL54" s="3261">
        <f>+W54+X54</f>
        <v>40791</v>
      </c>
      <c r="AM54" s="3219">
        <v>43832</v>
      </c>
      <c r="AN54" s="3267">
        <v>44195</v>
      </c>
      <c r="AO54" s="2565" t="s">
        <v>2228</v>
      </c>
    </row>
    <row r="55" spans="1:41" s="339" customFormat="1" ht="118.5" customHeight="1" x14ac:dyDescent="0.2">
      <c r="A55" s="1809"/>
      <c r="C55" s="1783"/>
      <c r="F55" s="1783"/>
      <c r="G55" s="2299"/>
      <c r="H55" s="3234"/>
      <c r="I55" s="2247"/>
      <c r="J55" s="2623"/>
      <c r="K55" s="2491"/>
      <c r="L55" s="2204"/>
      <c r="M55" s="2319"/>
      <c r="N55" s="2247"/>
      <c r="O55" s="3230"/>
      <c r="P55" s="3240"/>
      <c r="Q55" s="2320"/>
      <c r="R55" s="2320"/>
      <c r="S55" s="1653" t="s">
        <v>2291</v>
      </c>
      <c r="T55" s="2031">
        <v>800000</v>
      </c>
      <c r="U55" s="1688">
        <v>20</v>
      </c>
      <c r="V55" s="1632" t="s">
        <v>2316</v>
      </c>
      <c r="W55" s="3263"/>
      <c r="X55" s="3249"/>
      <c r="Y55" s="3249"/>
      <c r="Z55" s="3249"/>
      <c r="AA55" s="3249"/>
      <c r="AB55" s="3249"/>
      <c r="AC55" s="3249"/>
      <c r="AD55" s="3249"/>
      <c r="AE55" s="3249"/>
      <c r="AF55" s="3249"/>
      <c r="AG55" s="3249"/>
      <c r="AH55" s="3249"/>
      <c r="AI55" s="3249"/>
      <c r="AJ55" s="3249"/>
      <c r="AK55" s="3249"/>
      <c r="AL55" s="3249"/>
      <c r="AM55" s="3219"/>
      <c r="AN55" s="3268"/>
      <c r="AO55" s="3266"/>
    </row>
    <row r="56" spans="1:41" s="339" customFormat="1" ht="88.5" customHeight="1" x14ac:dyDescent="0.2">
      <c r="A56" s="1809"/>
      <c r="C56" s="1783"/>
      <c r="F56" s="1783"/>
      <c r="G56" s="2297">
        <v>2201046</v>
      </c>
      <c r="H56" s="2206" t="s">
        <v>2296</v>
      </c>
      <c r="I56" s="2320" t="s">
        <v>2297</v>
      </c>
      <c r="J56" s="2475" t="s">
        <v>2298</v>
      </c>
      <c r="K56" s="2491">
        <v>5</v>
      </c>
      <c r="L56" s="3208" t="s">
        <v>2317</v>
      </c>
      <c r="M56" s="2190" t="s">
        <v>2318</v>
      </c>
      <c r="N56" s="3264" t="s">
        <v>2319</v>
      </c>
      <c r="O56" s="3260">
        <f>SUM(T56:T57)/(P56+P68)</f>
        <v>0.571632376866966</v>
      </c>
      <c r="P56" s="3270">
        <f>+T56+T57</f>
        <v>58500000</v>
      </c>
      <c r="Q56" s="3272" t="s">
        <v>2320</v>
      </c>
      <c r="R56" s="3264" t="s">
        <v>2321</v>
      </c>
      <c r="S56" s="1645" t="s">
        <v>2322</v>
      </c>
      <c r="T56" s="2051">
        <f>12513333</f>
        <v>12513333</v>
      </c>
      <c r="U56" s="1654">
        <v>20</v>
      </c>
      <c r="V56" s="1472" t="s">
        <v>365</v>
      </c>
      <c r="W56" s="3261">
        <v>4129</v>
      </c>
      <c r="X56" s="3261">
        <v>4094</v>
      </c>
      <c r="Y56" s="3261">
        <v>1792</v>
      </c>
      <c r="Z56" s="3261">
        <v>6403</v>
      </c>
      <c r="AA56" s="3261">
        <v>28</v>
      </c>
      <c r="AB56" s="3261">
        <v>0</v>
      </c>
      <c r="AC56" s="3261">
        <v>22</v>
      </c>
      <c r="AD56" s="3261">
        <v>95</v>
      </c>
      <c r="AE56" s="3261">
        <v>0</v>
      </c>
      <c r="AF56" s="3261">
        <v>0</v>
      </c>
      <c r="AG56" s="3261">
        <v>0</v>
      </c>
      <c r="AH56" s="3261">
        <v>0</v>
      </c>
      <c r="AI56" s="3261">
        <v>590</v>
      </c>
      <c r="AJ56" s="3261">
        <v>431</v>
      </c>
      <c r="AK56" s="3261">
        <v>6</v>
      </c>
      <c r="AL56" s="3261">
        <f>+W56+X56</f>
        <v>8223</v>
      </c>
      <c r="AM56" s="3219">
        <v>43832</v>
      </c>
      <c r="AN56" s="3267">
        <v>44195</v>
      </c>
      <c r="AO56" s="2325" t="s">
        <v>2228</v>
      </c>
    </row>
    <row r="57" spans="1:41" s="339" customFormat="1" ht="83.25" customHeight="1" x14ac:dyDescent="0.2">
      <c r="A57" s="1809"/>
      <c r="C57" s="1783"/>
      <c r="F57" s="1783"/>
      <c r="G57" s="2299"/>
      <c r="H57" s="2319"/>
      <c r="I57" s="2321"/>
      <c r="J57" s="2474"/>
      <c r="K57" s="2491"/>
      <c r="L57" s="2257"/>
      <c r="M57" s="2257"/>
      <c r="N57" s="3198"/>
      <c r="O57" s="3229"/>
      <c r="P57" s="3271"/>
      <c r="Q57" s="3273"/>
      <c r="R57" s="3265"/>
      <c r="S57" s="1644" t="s">
        <v>2299</v>
      </c>
      <c r="T57" s="2055">
        <v>45986667</v>
      </c>
      <c r="U57" s="2056">
        <v>88</v>
      </c>
      <c r="V57" s="1639" t="s">
        <v>2229</v>
      </c>
      <c r="W57" s="3228"/>
      <c r="X57" s="3228"/>
      <c r="Y57" s="3228"/>
      <c r="Z57" s="3228"/>
      <c r="AA57" s="3228"/>
      <c r="AB57" s="3228"/>
      <c r="AC57" s="3228"/>
      <c r="AD57" s="3228"/>
      <c r="AE57" s="3228"/>
      <c r="AF57" s="3228"/>
      <c r="AG57" s="3228"/>
      <c r="AH57" s="3228"/>
      <c r="AI57" s="3228"/>
      <c r="AJ57" s="3228"/>
      <c r="AK57" s="3228"/>
      <c r="AL57" s="3228"/>
      <c r="AM57" s="3219"/>
      <c r="AN57" s="3267"/>
      <c r="AO57" s="3269"/>
    </row>
    <row r="58" spans="1:41" s="339" customFormat="1" ht="51" customHeight="1" x14ac:dyDescent="0.2">
      <c r="A58" s="1809"/>
      <c r="C58" s="1783"/>
      <c r="F58" s="1783"/>
      <c r="G58" s="2297">
        <v>2201037</v>
      </c>
      <c r="H58" s="2301" t="s">
        <v>2323</v>
      </c>
      <c r="I58" s="2247" t="s">
        <v>2324</v>
      </c>
      <c r="J58" s="2623" t="s">
        <v>2325</v>
      </c>
      <c r="K58" s="2491">
        <v>54</v>
      </c>
      <c r="L58" s="2204" t="s">
        <v>2326</v>
      </c>
      <c r="M58" s="2206" t="s">
        <v>2327</v>
      </c>
      <c r="N58" s="2247" t="s">
        <v>2328</v>
      </c>
      <c r="O58" s="3230">
        <f>SUM(T58:T60)/P58</f>
        <v>1</v>
      </c>
      <c r="P58" s="3240">
        <f>T58+T59+T60</f>
        <v>40000000</v>
      </c>
      <c r="Q58" s="2321" t="s">
        <v>2329</v>
      </c>
      <c r="R58" s="2321" t="s">
        <v>2330</v>
      </c>
      <c r="S58" s="1653" t="s">
        <v>2331</v>
      </c>
      <c r="T58" s="2031">
        <f>15680000</f>
        <v>15680000</v>
      </c>
      <c r="U58" s="1688">
        <v>20</v>
      </c>
      <c r="V58" s="1631" t="s">
        <v>365</v>
      </c>
      <c r="W58" s="3241">
        <v>1450</v>
      </c>
      <c r="X58" s="3217">
        <v>1439</v>
      </c>
      <c r="Y58" s="3217">
        <v>2889</v>
      </c>
      <c r="Z58" s="3217">
        <v>0</v>
      </c>
      <c r="AA58" s="3217">
        <v>0</v>
      </c>
      <c r="AB58" s="3217">
        <v>0</v>
      </c>
      <c r="AC58" s="3217">
        <v>11</v>
      </c>
      <c r="AD58" s="3217">
        <v>3</v>
      </c>
      <c r="AE58" s="3217">
        <v>0</v>
      </c>
      <c r="AF58" s="3277">
        <v>0</v>
      </c>
      <c r="AG58" s="3217">
        <v>0</v>
      </c>
      <c r="AH58" s="3217">
        <v>0</v>
      </c>
      <c r="AI58" s="3217">
        <v>192</v>
      </c>
      <c r="AJ58" s="3217">
        <v>27</v>
      </c>
      <c r="AK58" s="3217">
        <v>6</v>
      </c>
      <c r="AL58" s="3217">
        <f>SUM(W58+X58)</f>
        <v>2889</v>
      </c>
      <c r="AM58" s="3219">
        <v>43832</v>
      </c>
      <c r="AN58" s="3276">
        <v>44195</v>
      </c>
      <c r="AO58" s="2206" t="s">
        <v>2228</v>
      </c>
    </row>
    <row r="59" spans="1:41" s="339" customFormat="1" ht="44.25" customHeight="1" x14ac:dyDescent="0.2">
      <c r="A59" s="1809"/>
      <c r="C59" s="1783"/>
      <c r="F59" s="1783"/>
      <c r="G59" s="2298"/>
      <c r="H59" s="2301"/>
      <c r="I59" s="2247"/>
      <c r="J59" s="2623"/>
      <c r="K59" s="2491"/>
      <c r="L59" s="2204"/>
      <c r="M59" s="2206"/>
      <c r="N59" s="2247"/>
      <c r="O59" s="3230"/>
      <c r="P59" s="3240"/>
      <c r="Q59" s="2356"/>
      <c r="R59" s="2356"/>
      <c r="S59" s="2247" t="s">
        <v>2332</v>
      </c>
      <c r="T59" s="2031">
        <v>11979500</v>
      </c>
      <c r="U59" s="1688">
        <v>20</v>
      </c>
      <c r="V59" s="1631" t="s">
        <v>365</v>
      </c>
      <c r="W59" s="3242"/>
      <c r="X59" s="3218"/>
      <c r="Y59" s="3218"/>
      <c r="Z59" s="3218"/>
      <c r="AA59" s="3218"/>
      <c r="AB59" s="3218"/>
      <c r="AC59" s="3218"/>
      <c r="AD59" s="3218"/>
      <c r="AE59" s="3218"/>
      <c r="AF59" s="3278"/>
      <c r="AG59" s="3218"/>
      <c r="AH59" s="3218"/>
      <c r="AI59" s="3218"/>
      <c r="AJ59" s="3218"/>
      <c r="AK59" s="3218"/>
      <c r="AL59" s="3218"/>
      <c r="AM59" s="3219"/>
      <c r="AN59" s="3267"/>
      <c r="AO59" s="2206"/>
    </row>
    <row r="60" spans="1:41" s="339" customFormat="1" ht="53.25" customHeight="1" x14ac:dyDescent="0.2">
      <c r="A60" s="1809"/>
      <c r="C60" s="1783"/>
      <c r="F60" s="1783"/>
      <c r="G60" s="2299"/>
      <c r="H60" s="3234"/>
      <c r="I60" s="2247"/>
      <c r="J60" s="2623"/>
      <c r="K60" s="2491"/>
      <c r="L60" s="2204"/>
      <c r="M60" s="2206"/>
      <c r="N60" s="2247"/>
      <c r="O60" s="3230"/>
      <c r="P60" s="3240"/>
      <c r="Q60" s="2320"/>
      <c r="R60" s="2320"/>
      <c r="S60" s="2247"/>
      <c r="T60" s="2055">
        <v>12340500</v>
      </c>
      <c r="U60" s="1688">
        <v>88</v>
      </c>
      <c r="V60" s="1632" t="s">
        <v>2333</v>
      </c>
      <c r="W60" s="3243"/>
      <c r="X60" s="3228"/>
      <c r="Y60" s="3228"/>
      <c r="Z60" s="3228"/>
      <c r="AA60" s="3228"/>
      <c r="AB60" s="3228"/>
      <c r="AC60" s="3228"/>
      <c r="AD60" s="3228"/>
      <c r="AE60" s="3228"/>
      <c r="AF60" s="3279"/>
      <c r="AG60" s="3228"/>
      <c r="AH60" s="3228"/>
      <c r="AI60" s="3228"/>
      <c r="AJ60" s="3228"/>
      <c r="AK60" s="3228"/>
      <c r="AL60" s="3228"/>
      <c r="AM60" s="3219"/>
      <c r="AN60" s="3268"/>
      <c r="AO60" s="2319"/>
    </row>
    <row r="61" spans="1:41" s="339" customFormat="1" ht="60" customHeight="1" x14ac:dyDescent="0.2">
      <c r="A61" s="1809"/>
      <c r="C61" s="1783"/>
      <c r="F61" s="1783"/>
      <c r="G61" s="2281">
        <v>2201050</v>
      </c>
      <c r="H61" s="2206" t="s">
        <v>2334</v>
      </c>
      <c r="I61" s="2320" t="s">
        <v>2335</v>
      </c>
      <c r="J61" s="2057" t="s">
        <v>2336</v>
      </c>
      <c r="K61" s="2058">
        <v>150</v>
      </c>
      <c r="L61" s="2203" t="s">
        <v>2337</v>
      </c>
      <c r="M61" s="3274" t="s">
        <v>2338</v>
      </c>
      <c r="N61" s="2494" t="s">
        <v>2339</v>
      </c>
      <c r="O61" s="3229">
        <f>+T61/P61</f>
        <v>1</v>
      </c>
      <c r="P61" s="3271">
        <f>+T61</f>
        <v>549272916</v>
      </c>
      <c r="Q61" s="2320" t="s">
        <v>2340</v>
      </c>
      <c r="R61" s="2320" t="s">
        <v>2341</v>
      </c>
      <c r="S61" s="2320" t="s">
        <v>2342</v>
      </c>
      <c r="T61" s="3280">
        <v>549272916</v>
      </c>
      <c r="U61" s="3282">
        <v>25</v>
      </c>
      <c r="V61" s="3283" t="s">
        <v>2343</v>
      </c>
      <c r="W61" s="3241">
        <v>20196</v>
      </c>
      <c r="X61" s="3217">
        <v>20595</v>
      </c>
      <c r="Y61" s="3217">
        <v>29775</v>
      </c>
      <c r="Z61" s="3217">
        <v>9453</v>
      </c>
      <c r="AA61" s="3217">
        <v>1396</v>
      </c>
      <c r="AB61" s="3217">
        <v>167</v>
      </c>
      <c r="AC61" s="3217">
        <v>274</v>
      </c>
      <c r="AD61" s="3217">
        <v>329</v>
      </c>
      <c r="AE61" s="3289">
        <v>0</v>
      </c>
      <c r="AF61" s="3217">
        <v>0</v>
      </c>
      <c r="AG61" s="3217">
        <v>0</v>
      </c>
      <c r="AH61" s="3217">
        <v>0</v>
      </c>
      <c r="AI61" s="3217">
        <v>3097</v>
      </c>
      <c r="AJ61" s="3217">
        <v>2611</v>
      </c>
      <c r="AK61" s="3217">
        <v>50</v>
      </c>
      <c r="AL61" s="3217">
        <f>+W61+X61</f>
        <v>40791</v>
      </c>
      <c r="AM61" s="3219">
        <v>43832</v>
      </c>
      <c r="AN61" s="2604">
        <v>44195</v>
      </c>
      <c r="AO61" s="2190" t="s">
        <v>2228</v>
      </c>
    </row>
    <row r="62" spans="1:41" s="339" customFormat="1" ht="78.75" customHeight="1" x14ac:dyDescent="0.2">
      <c r="A62" s="1809"/>
      <c r="C62" s="1783"/>
      <c r="F62" s="1783"/>
      <c r="G62" s="2283"/>
      <c r="H62" s="2319"/>
      <c r="I62" s="2321"/>
      <c r="J62" s="2059" t="s">
        <v>2344</v>
      </c>
      <c r="K62" s="2058">
        <v>10000</v>
      </c>
      <c r="L62" s="2204"/>
      <c r="M62" s="3275"/>
      <c r="N62" s="2494"/>
      <c r="O62" s="3260"/>
      <c r="P62" s="3270"/>
      <c r="Q62" s="2247"/>
      <c r="R62" s="2247"/>
      <c r="S62" s="2247"/>
      <c r="T62" s="3281"/>
      <c r="U62" s="3282"/>
      <c r="V62" s="3284"/>
      <c r="W62" s="3243"/>
      <c r="X62" s="3228"/>
      <c r="Y62" s="3228"/>
      <c r="Z62" s="3228"/>
      <c r="AA62" s="3228"/>
      <c r="AB62" s="3228"/>
      <c r="AC62" s="3228"/>
      <c r="AD62" s="3228"/>
      <c r="AE62" s="3290"/>
      <c r="AF62" s="3228"/>
      <c r="AG62" s="3228"/>
      <c r="AH62" s="3228"/>
      <c r="AI62" s="3228"/>
      <c r="AJ62" s="3228"/>
      <c r="AK62" s="3228"/>
      <c r="AL62" s="3228"/>
      <c r="AM62" s="3219"/>
      <c r="AN62" s="2606"/>
      <c r="AO62" s="2257"/>
    </row>
    <row r="63" spans="1:41" s="339" customFormat="1" ht="85.5" customHeight="1" x14ac:dyDescent="0.2">
      <c r="A63" s="1809"/>
      <c r="C63" s="1783"/>
      <c r="F63" s="1783"/>
      <c r="G63" s="2281">
        <v>2201034</v>
      </c>
      <c r="H63" s="2180" t="s">
        <v>2345</v>
      </c>
      <c r="I63" s="2258" t="s">
        <v>2346</v>
      </c>
      <c r="J63" s="1153" t="s">
        <v>2347</v>
      </c>
      <c r="K63" s="2060">
        <v>100</v>
      </c>
      <c r="L63" s="3286" t="s">
        <v>2348</v>
      </c>
      <c r="M63" s="2206" t="s">
        <v>2349</v>
      </c>
      <c r="N63" s="2623" t="s">
        <v>2350</v>
      </c>
      <c r="O63" s="2647"/>
      <c r="P63" s="3288">
        <f>+T63+T64+T65</f>
        <v>0</v>
      </c>
      <c r="Q63" s="2631" t="s">
        <v>2351</v>
      </c>
      <c r="R63" s="2286" t="s">
        <v>2352</v>
      </c>
      <c r="S63" s="3264" t="s">
        <v>2353</v>
      </c>
      <c r="T63" s="1607">
        <v>0</v>
      </c>
      <c r="U63" s="1688">
        <v>88</v>
      </c>
      <c r="V63" s="1654" t="s">
        <v>227</v>
      </c>
      <c r="W63" s="3285">
        <v>19649</v>
      </c>
      <c r="X63" s="3285">
        <v>20118</v>
      </c>
      <c r="Y63" s="3285">
        <v>28907</v>
      </c>
      <c r="Z63" s="3285">
        <v>9525</v>
      </c>
      <c r="AA63" s="3285">
        <v>1222</v>
      </c>
      <c r="AB63" s="3285">
        <v>113</v>
      </c>
      <c r="AC63" s="3285">
        <v>297</v>
      </c>
      <c r="AD63" s="3285">
        <v>345</v>
      </c>
      <c r="AE63" s="3285">
        <v>0</v>
      </c>
      <c r="AF63" s="3285">
        <v>0</v>
      </c>
      <c r="AG63" s="3285">
        <v>0</v>
      </c>
      <c r="AH63" s="3285">
        <v>0</v>
      </c>
      <c r="AI63" s="3285">
        <v>3302</v>
      </c>
      <c r="AJ63" s="3285">
        <v>2507</v>
      </c>
      <c r="AK63" s="3285">
        <v>3414</v>
      </c>
      <c r="AL63" s="3285">
        <f>SUM(W63+X63)</f>
        <v>39767</v>
      </c>
      <c r="AM63" s="2604">
        <v>44033</v>
      </c>
      <c r="AN63" s="2604">
        <v>44195</v>
      </c>
      <c r="AO63" s="2190" t="s">
        <v>2228</v>
      </c>
    </row>
    <row r="64" spans="1:41" s="339" customFormat="1" ht="93" customHeight="1" x14ac:dyDescent="0.2">
      <c r="A64" s="1809"/>
      <c r="C64" s="1783"/>
      <c r="F64" s="1783"/>
      <c r="G64" s="2283"/>
      <c r="H64" s="2180"/>
      <c r="I64" s="2258"/>
      <c r="J64" s="2057" t="s">
        <v>2354</v>
      </c>
      <c r="K64" s="2058">
        <v>54</v>
      </c>
      <c r="L64" s="3286"/>
      <c r="M64" s="2206"/>
      <c r="N64" s="2623"/>
      <c r="O64" s="2648"/>
      <c r="P64" s="3288"/>
      <c r="Q64" s="2631"/>
      <c r="R64" s="2286"/>
      <c r="S64" s="3199"/>
      <c r="T64" s="1607">
        <v>0</v>
      </c>
      <c r="U64" s="1688">
        <v>88</v>
      </c>
      <c r="V64" s="1654" t="s">
        <v>227</v>
      </c>
      <c r="W64" s="3285"/>
      <c r="X64" s="3285"/>
      <c r="Y64" s="3285"/>
      <c r="Z64" s="3285"/>
      <c r="AA64" s="3285"/>
      <c r="AB64" s="3285"/>
      <c r="AC64" s="3285"/>
      <c r="AD64" s="3285"/>
      <c r="AE64" s="3285"/>
      <c r="AF64" s="3285"/>
      <c r="AG64" s="3285"/>
      <c r="AH64" s="3285"/>
      <c r="AI64" s="3285"/>
      <c r="AJ64" s="3285"/>
      <c r="AK64" s="3285"/>
      <c r="AL64" s="3285"/>
      <c r="AM64" s="2605"/>
      <c r="AN64" s="2605"/>
      <c r="AO64" s="2191"/>
    </row>
    <row r="65" spans="1:41" s="339" customFormat="1" ht="162.75" customHeight="1" x14ac:dyDescent="0.2">
      <c r="A65" s="1809"/>
      <c r="C65" s="1783"/>
      <c r="F65" s="1783"/>
      <c r="G65" s="2054">
        <v>2201060</v>
      </c>
      <c r="H65" s="1639" t="s">
        <v>2355</v>
      </c>
      <c r="I65" s="1661" t="s">
        <v>2356</v>
      </c>
      <c r="J65" s="1153" t="s">
        <v>2357</v>
      </c>
      <c r="K65" s="1675">
        <v>50</v>
      </c>
      <c r="L65" s="3287"/>
      <c r="M65" s="2206"/>
      <c r="N65" s="2623"/>
      <c r="O65" s="2649"/>
      <c r="P65" s="3288"/>
      <c r="Q65" s="2632"/>
      <c r="R65" s="2313"/>
      <c r="S65" s="1153" t="s">
        <v>2358</v>
      </c>
      <c r="T65" s="2044">
        <v>0</v>
      </c>
      <c r="U65" s="1688">
        <v>88</v>
      </c>
      <c r="V65" s="1654" t="s">
        <v>227</v>
      </c>
      <c r="W65" s="3285"/>
      <c r="X65" s="3285"/>
      <c r="Y65" s="3285"/>
      <c r="Z65" s="3285"/>
      <c r="AA65" s="3285"/>
      <c r="AB65" s="3285"/>
      <c r="AC65" s="3285"/>
      <c r="AD65" s="3285"/>
      <c r="AE65" s="3285"/>
      <c r="AF65" s="3285"/>
      <c r="AG65" s="3285"/>
      <c r="AH65" s="3285"/>
      <c r="AI65" s="3285"/>
      <c r="AJ65" s="3285"/>
      <c r="AK65" s="3285"/>
      <c r="AL65" s="3285"/>
      <c r="AM65" s="2606"/>
      <c r="AN65" s="2606"/>
      <c r="AO65" s="2257"/>
    </row>
    <row r="66" spans="1:41" s="339" customFormat="1" ht="365.25" customHeight="1" x14ac:dyDescent="0.2">
      <c r="A66" s="1809"/>
      <c r="C66" s="1783"/>
      <c r="D66" s="1830"/>
      <c r="E66" s="1830"/>
      <c r="F66" s="1831"/>
      <c r="G66" s="1639">
        <v>2201015</v>
      </c>
      <c r="H66" s="1654" t="s">
        <v>2359</v>
      </c>
      <c r="I66" s="1656" t="s">
        <v>2360</v>
      </c>
      <c r="J66" s="1702" t="s">
        <v>2361</v>
      </c>
      <c r="K66" s="1675">
        <v>11</v>
      </c>
      <c r="L66" s="1700" t="s">
        <v>2362</v>
      </c>
      <c r="M66" s="1654" t="s">
        <v>2363</v>
      </c>
      <c r="N66" s="1656" t="s">
        <v>2364</v>
      </c>
      <c r="O66" s="1836">
        <f>+T66/P66</f>
        <v>1</v>
      </c>
      <c r="P66" s="2061">
        <f>+T66</f>
        <v>10000000</v>
      </c>
      <c r="Q66" s="1661" t="s">
        <v>2365</v>
      </c>
      <c r="R66" s="1661" t="s">
        <v>2366</v>
      </c>
      <c r="S66" s="1655" t="s">
        <v>2360</v>
      </c>
      <c r="T66" s="2062">
        <v>10000000</v>
      </c>
      <c r="U66" s="2063">
        <v>88</v>
      </c>
      <c r="V66" s="1637" t="s">
        <v>227</v>
      </c>
      <c r="W66" s="2064">
        <v>19649</v>
      </c>
      <c r="X66" s="2064">
        <v>20118</v>
      </c>
      <c r="Y66" s="2064">
        <v>28907</v>
      </c>
      <c r="Z66" s="2064">
        <v>9525</v>
      </c>
      <c r="AA66" s="2064">
        <v>1222</v>
      </c>
      <c r="AB66" s="2064">
        <v>113</v>
      </c>
      <c r="AC66" s="2064">
        <v>297</v>
      </c>
      <c r="AD66" s="2064">
        <v>345</v>
      </c>
      <c r="AE66" s="2064">
        <v>0</v>
      </c>
      <c r="AF66" s="2064">
        <v>0</v>
      </c>
      <c r="AG66" s="2064">
        <v>0</v>
      </c>
      <c r="AH66" s="2064">
        <v>0</v>
      </c>
      <c r="AI66" s="2064">
        <v>3302</v>
      </c>
      <c r="AJ66" s="2064">
        <v>2507</v>
      </c>
      <c r="AK66" s="2064">
        <v>3414</v>
      </c>
      <c r="AL66" s="2064">
        <f>SUM(W66+X66)</f>
        <v>39767</v>
      </c>
      <c r="AM66" s="1853">
        <v>44033</v>
      </c>
      <c r="AN66" s="2065">
        <v>44195</v>
      </c>
      <c r="AO66" s="1661" t="s">
        <v>2228</v>
      </c>
    </row>
    <row r="67" spans="1:41" s="4" customFormat="1" ht="24.75" customHeight="1" x14ac:dyDescent="0.2">
      <c r="A67" s="34"/>
      <c r="B67" s="35"/>
      <c r="C67" s="1677"/>
      <c r="D67" s="206">
        <v>44</v>
      </c>
      <c r="E67" s="675" t="s">
        <v>578</v>
      </c>
      <c r="F67" s="208"/>
      <c r="G67" s="835"/>
      <c r="H67" s="209"/>
      <c r="I67" s="210"/>
      <c r="J67" s="210"/>
      <c r="K67" s="67"/>
      <c r="L67" s="1516"/>
      <c r="M67" s="836"/>
      <c r="N67" s="210"/>
      <c r="O67" s="296"/>
      <c r="P67" s="2066"/>
      <c r="Q67" s="261"/>
      <c r="R67" s="261"/>
      <c r="S67" s="968"/>
      <c r="T67" s="968"/>
      <c r="U67" s="2067"/>
      <c r="V67" s="2083"/>
      <c r="W67" s="2068"/>
      <c r="X67" s="2068"/>
      <c r="Y67" s="2068"/>
      <c r="Z67" s="2068"/>
      <c r="AA67" s="2068"/>
      <c r="AB67" s="2068"/>
      <c r="AC67" s="2068"/>
      <c r="AD67" s="2068"/>
      <c r="AE67" s="2068"/>
      <c r="AF67" s="2068"/>
      <c r="AG67" s="2068"/>
      <c r="AH67" s="2068"/>
      <c r="AI67" s="2068"/>
      <c r="AJ67" s="2068"/>
      <c r="AK67" s="2068"/>
      <c r="AL67" s="2068"/>
      <c r="AM67" s="490"/>
      <c r="AN67" s="2069"/>
      <c r="AO67" s="270"/>
    </row>
    <row r="68" spans="1:41" s="339" customFormat="1" ht="61.5" customHeight="1" x14ac:dyDescent="0.2">
      <c r="A68" s="2028"/>
      <c r="B68" s="1700"/>
      <c r="C68" s="1700"/>
      <c r="D68" s="2904"/>
      <c r="E68" s="3291"/>
      <c r="F68" s="2742"/>
      <c r="G68" s="2319">
        <v>2202006</v>
      </c>
      <c r="H68" s="2204" t="s">
        <v>2367</v>
      </c>
      <c r="I68" s="2247" t="s">
        <v>2368</v>
      </c>
      <c r="J68" s="2623" t="s">
        <v>2369</v>
      </c>
      <c r="K68" s="2491">
        <v>1</v>
      </c>
      <c r="L68" s="2204" t="s">
        <v>2370</v>
      </c>
      <c r="M68" s="2206" t="s">
        <v>2318</v>
      </c>
      <c r="N68" s="2955" t="s">
        <v>2371</v>
      </c>
      <c r="O68" s="3230">
        <f>SUM(T68:T69)/(P56+P68)</f>
        <v>0.428367623133034</v>
      </c>
      <c r="P68" s="3240">
        <f>+T68+T69</f>
        <v>43838500</v>
      </c>
      <c r="Q68" s="2247" t="s">
        <v>2320</v>
      </c>
      <c r="R68" s="2623" t="s">
        <v>2321</v>
      </c>
      <c r="S68" s="2247" t="s">
        <v>2372</v>
      </c>
      <c r="T68" s="2031">
        <v>3838500</v>
      </c>
      <c r="U68" s="1688">
        <v>20</v>
      </c>
      <c r="V68" s="1632" t="s">
        <v>365</v>
      </c>
      <c r="W68" s="3262">
        <v>4129</v>
      </c>
      <c r="X68" s="3261">
        <v>4094</v>
      </c>
      <c r="Y68" s="3261">
        <v>1792</v>
      </c>
      <c r="Z68" s="3261">
        <v>6403</v>
      </c>
      <c r="AA68" s="3261">
        <v>28</v>
      </c>
      <c r="AB68" s="3261">
        <v>0</v>
      </c>
      <c r="AC68" s="3261">
        <v>22</v>
      </c>
      <c r="AD68" s="3261">
        <v>95</v>
      </c>
      <c r="AE68" s="3261">
        <v>0</v>
      </c>
      <c r="AF68" s="3261">
        <v>0</v>
      </c>
      <c r="AG68" s="3261">
        <v>0</v>
      </c>
      <c r="AH68" s="3261">
        <v>0</v>
      </c>
      <c r="AI68" s="3261">
        <v>590</v>
      </c>
      <c r="AJ68" s="3261">
        <v>431</v>
      </c>
      <c r="AK68" s="3261">
        <v>6</v>
      </c>
      <c r="AL68" s="3261">
        <f>+W68+X68</f>
        <v>8223</v>
      </c>
      <c r="AM68" s="3219">
        <v>43832</v>
      </c>
      <c r="AN68" s="3267">
        <v>44195</v>
      </c>
      <c r="AO68" s="3293" t="s">
        <v>2228</v>
      </c>
    </row>
    <row r="69" spans="1:41" s="339" customFormat="1" ht="75.75" customHeight="1" x14ac:dyDescent="0.2">
      <c r="A69" s="1809"/>
      <c r="D69" s="2928"/>
      <c r="E69" s="3292"/>
      <c r="F69" s="2279"/>
      <c r="G69" s="2571"/>
      <c r="H69" s="2742"/>
      <c r="I69" s="2321"/>
      <c r="J69" s="2474"/>
      <c r="K69" s="2491"/>
      <c r="L69" s="2204"/>
      <c r="M69" s="2206"/>
      <c r="N69" s="2562"/>
      <c r="O69" s="3260"/>
      <c r="P69" s="3270"/>
      <c r="Q69" s="2321"/>
      <c r="R69" s="2474"/>
      <c r="S69" s="2247"/>
      <c r="T69" s="2031">
        <v>40000000</v>
      </c>
      <c r="U69" s="1688">
        <v>91</v>
      </c>
      <c r="V69" s="1632" t="s">
        <v>2373</v>
      </c>
      <c r="W69" s="3243"/>
      <c r="X69" s="3228"/>
      <c r="Y69" s="3228"/>
      <c r="Z69" s="3228"/>
      <c r="AA69" s="3228"/>
      <c r="AB69" s="3228"/>
      <c r="AC69" s="3228"/>
      <c r="AD69" s="3228"/>
      <c r="AE69" s="3228"/>
      <c r="AF69" s="3228"/>
      <c r="AG69" s="3228"/>
      <c r="AH69" s="3218"/>
      <c r="AI69" s="3228"/>
      <c r="AJ69" s="3228"/>
      <c r="AK69" s="3228"/>
      <c r="AL69" s="3228"/>
      <c r="AM69" s="3219"/>
      <c r="AN69" s="3267"/>
      <c r="AO69" s="3294"/>
    </row>
    <row r="70" spans="1:41" s="339" customFormat="1" ht="72.75" customHeight="1" x14ac:dyDescent="0.2">
      <c r="A70" s="1809"/>
      <c r="C70" s="1783"/>
      <c r="D70" s="2610"/>
      <c r="E70" s="2608"/>
      <c r="F70" s="3296"/>
      <c r="G70" s="2319">
        <v>2202006</v>
      </c>
      <c r="H70" s="2206" t="s">
        <v>2367</v>
      </c>
      <c r="I70" s="2955" t="s">
        <v>2368</v>
      </c>
      <c r="J70" s="2623" t="s">
        <v>2369</v>
      </c>
      <c r="K70" s="2491">
        <v>1</v>
      </c>
      <c r="L70" s="2204" t="s">
        <v>2374</v>
      </c>
      <c r="M70" s="3284" t="s">
        <v>2375</v>
      </c>
      <c r="N70" s="2955" t="s">
        <v>2376</v>
      </c>
      <c r="O70" s="3230">
        <f>SUM(T70:T72)/P70</f>
        <v>1</v>
      </c>
      <c r="P70" s="3298">
        <f>SUM(T70:T72)</f>
        <v>200000000</v>
      </c>
      <c r="Q70" s="2258" t="s">
        <v>2320</v>
      </c>
      <c r="R70" s="2258" t="s">
        <v>2321</v>
      </c>
      <c r="S70" s="1674" t="s">
        <v>2377</v>
      </c>
      <c r="T70" s="2051">
        <v>100000000</v>
      </c>
      <c r="U70" s="2070">
        <v>20</v>
      </c>
      <c r="V70" s="1631" t="s">
        <v>365</v>
      </c>
      <c r="W70" s="3241">
        <v>4129</v>
      </c>
      <c r="X70" s="3217">
        <v>4094</v>
      </c>
      <c r="Y70" s="3217">
        <v>1792</v>
      </c>
      <c r="Z70" s="3217">
        <v>6403</v>
      </c>
      <c r="AA70" s="3217">
        <v>28</v>
      </c>
      <c r="AB70" s="3217">
        <v>0</v>
      </c>
      <c r="AC70" s="3217">
        <v>22</v>
      </c>
      <c r="AD70" s="3217">
        <v>95</v>
      </c>
      <c r="AE70" s="3217">
        <v>0</v>
      </c>
      <c r="AF70" s="3217">
        <v>0</v>
      </c>
      <c r="AG70" s="3217">
        <v>0</v>
      </c>
      <c r="AH70" s="3285">
        <v>0</v>
      </c>
      <c r="AI70" s="3217">
        <v>590</v>
      </c>
      <c r="AJ70" s="3217">
        <v>431</v>
      </c>
      <c r="AK70" s="3217">
        <v>6</v>
      </c>
      <c r="AL70" s="3217">
        <v>8223</v>
      </c>
      <c r="AM70" s="3219">
        <v>43832</v>
      </c>
      <c r="AN70" s="3232">
        <v>44195</v>
      </c>
      <c r="AO70" s="2190" t="s">
        <v>2228</v>
      </c>
    </row>
    <row r="71" spans="1:41" s="339" customFormat="1" ht="36" customHeight="1" x14ac:dyDescent="0.2">
      <c r="A71" s="1809"/>
      <c r="C71" s="1783"/>
      <c r="D71" s="2610"/>
      <c r="E71" s="2608"/>
      <c r="F71" s="3296"/>
      <c r="G71" s="2571"/>
      <c r="H71" s="2206"/>
      <c r="I71" s="2955"/>
      <c r="J71" s="2623"/>
      <c r="K71" s="2491"/>
      <c r="L71" s="2204"/>
      <c r="M71" s="3284"/>
      <c r="N71" s="2955"/>
      <c r="O71" s="3230"/>
      <c r="P71" s="3298"/>
      <c r="Q71" s="2258"/>
      <c r="R71" s="2258"/>
      <c r="S71" s="2955" t="s">
        <v>2378</v>
      </c>
      <c r="T71" s="2031">
        <v>50000000</v>
      </c>
      <c r="U71" s="1688">
        <v>35</v>
      </c>
      <c r="V71" s="1632" t="s">
        <v>1720</v>
      </c>
      <c r="W71" s="3242"/>
      <c r="X71" s="3218"/>
      <c r="Y71" s="3218"/>
      <c r="Z71" s="3218"/>
      <c r="AA71" s="3218"/>
      <c r="AB71" s="3218"/>
      <c r="AC71" s="3218"/>
      <c r="AD71" s="3218"/>
      <c r="AE71" s="3218"/>
      <c r="AF71" s="3218"/>
      <c r="AG71" s="3218"/>
      <c r="AH71" s="3285"/>
      <c r="AI71" s="3218"/>
      <c r="AJ71" s="3218"/>
      <c r="AK71" s="3218"/>
      <c r="AL71" s="3218"/>
      <c r="AM71" s="3219"/>
      <c r="AN71" s="3232"/>
      <c r="AO71" s="2191"/>
    </row>
    <row r="72" spans="1:41" s="339" customFormat="1" ht="47.25" customHeight="1" x14ac:dyDescent="0.2">
      <c r="A72" s="1809"/>
      <c r="C72" s="1783"/>
      <c r="D72" s="2611"/>
      <c r="E72" s="3295"/>
      <c r="F72" s="3297"/>
      <c r="G72" s="2205"/>
      <c r="H72" s="2206"/>
      <c r="I72" s="2955"/>
      <c r="J72" s="2623"/>
      <c r="K72" s="2491"/>
      <c r="L72" s="2204"/>
      <c r="M72" s="3284"/>
      <c r="N72" s="2955"/>
      <c r="O72" s="3260"/>
      <c r="P72" s="3298"/>
      <c r="Q72" s="2258"/>
      <c r="R72" s="2258"/>
      <c r="S72" s="2955"/>
      <c r="T72" s="1529">
        <v>50000000</v>
      </c>
      <c r="U72" s="1688">
        <v>88</v>
      </c>
      <c r="V72" s="1632" t="s">
        <v>2373</v>
      </c>
      <c r="W72" s="3243"/>
      <c r="X72" s="3228"/>
      <c r="Y72" s="3228"/>
      <c r="Z72" s="3228"/>
      <c r="AA72" s="3228"/>
      <c r="AB72" s="3228"/>
      <c r="AC72" s="3228"/>
      <c r="AD72" s="3228"/>
      <c r="AE72" s="3228"/>
      <c r="AF72" s="3228"/>
      <c r="AG72" s="3228"/>
      <c r="AH72" s="3285"/>
      <c r="AI72" s="3228"/>
      <c r="AJ72" s="3228"/>
      <c r="AK72" s="3228"/>
      <c r="AL72" s="3228"/>
      <c r="AM72" s="3219"/>
      <c r="AN72" s="3233"/>
      <c r="AO72" s="2257"/>
    </row>
    <row r="73" spans="1:41" s="4" customFormat="1" ht="23.25" customHeight="1" x14ac:dyDescent="0.2">
      <c r="A73" s="323"/>
      <c r="B73" s="247"/>
      <c r="C73" s="249"/>
      <c r="D73" s="273"/>
      <c r="E73" s="247"/>
      <c r="F73" s="249"/>
      <c r="G73" s="2006"/>
      <c r="H73" s="2006"/>
      <c r="I73" s="2006"/>
      <c r="J73" s="2071"/>
      <c r="K73" s="2072"/>
      <c r="L73" s="2073"/>
      <c r="M73" s="2074"/>
      <c r="N73" s="2075"/>
      <c r="O73" s="2076"/>
      <c r="P73" s="2077">
        <f>SUM(P12:P70)</f>
        <v>178324204793.70999</v>
      </c>
      <c r="Q73" s="1640"/>
      <c r="R73" s="1640"/>
      <c r="S73" s="1687"/>
      <c r="T73" s="2078">
        <f>SUM(T12:T72)</f>
        <v>178324204793.70999</v>
      </c>
      <c r="U73" s="2079"/>
      <c r="V73" s="1687"/>
      <c r="W73" s="1116"/>
      <c r="X73" s="1116"/>
      <c r="Y73" s="1116"/>
      <c r="Z73" s="1116"/>
      <c r="AA73" s="1116"/>
      <c r="AB73" s="1116"/>
      <c r="AC73" s="1116"/>
      <c r="AD73" s="1116"/>
      <c r="AE73" s="1116"/>
      <c r="AF73" s="1116"/>
      <c r="AG73" s="1116"/>
      <c r="AH73" s="1116"/>
      <c r="AI73" s="1116"/>
      <c r="AJ73" s="1116"/>
      <c r="AK73" s="1116"/>
      <c r="AL73" s="1116"/>
      <c r="AM73" s="1672"/>
      <c r="AN73" s="338"/>
      <c r="AO73" s="333"/>
    </row>
    <row r="74" spans="1:41" x14ac:dyDescent="0.2">
      <c r="P74" s="453"/>
    </row>
    <row r="75" spans="1:41" ht="42.75" customHeight="1" x14ac:dyDescent="0.2">
      <c r="P75" s="453"/>
      <c r="S75" s="2080"/>
      <c r="T75" s="2081"/>
    </row>
    <row r="76" spans="1:41" x14ac:dyDescent="0.2">
      <c r="P76" s="453"/>
      <c r="S76" s="2080"/>
      <c r="T76" s="2081"/>
    </row>
    <row r="77" spans="1:41" x14ac:dyDescent="0.2">
      <c r="N77" s="2080"/>
      <c r="S77" s="2080"/>
      <c r="T77" s="2081"/>
    </row>
    <row r="78" spans="1:41" x14ac:dyDescent="0.2">
      <c r="B78" s="340"/>
      <c r="C78" s="341"/>
      <c r="D78" s="247"/>
      <c r="E78" s="247"/>
      <c r="F78" s="247"/>
      <c r="G78" s="247"/>
      <c r="H78" s="4"/>
      <c r="N78" s="2080"/>
      <c r="S78" s="2080"/>
      <c r="T78" s="2081"/>
    </row>
    <row r="79" spans="1:41" ht="19.5" customHeight="1" x14ac:dyDescent="0.25">
      <c r="B79" s="160" t="s">
        <v>2379</v>
      </c>
      <c r="C79" s="161"/>
      <c r="D79" s="4"/>
      <c r="E79" s="4"/>
      <c r="F79" s="4"/>
      <c r="G79" s="4"/>
      <c r="H79" s="4"/>
      <c r="N79" s="2080"/>
      <c r="S79" s="2080"/>
      <c r="T79" s="2081"/>
    </row>
    <row r="80" spans="1:41" ht="27" customHeight="1" x14ac:dyDescent="0.25">
      <c r="B80" s="160" t="s">
        <v>2380</v>
      </c>
      <c r="C80" s="161"/>
      <c r="D80" s="4"/>
      <c r="E80" s="4"/>
      <c r="F80" s="4"/>
      <c r="G80" s="4"/>
      <c r="H80" s="4"/>
      <c r="N80" s="2080"/>
      <c r="S80" s="2080"/>
      <c r="T80" s="2081"/>
    </row>
    <row r="83" spans="1:41" s="441" customFormat="1" x14ac:dyDescent="0.2">
      <c r="A83" s="439"/>
      <c r="B83" s="360"/>
      <c r="C83" s="360"/>
      <c r="D83" s="360"/>
      <c r="E83" s="360"/>
      <c r="F83" s="360"/>
      <c r="G83" s="360"/>
      <c r="H83" s="360"/>
      <c r="I83" s="440"/>
      <c r="J83" s="180"/>
      <c r="K83" s="447"/>
      <c r="L83" s="2009"/>
      <c r="N83" s="440"/>
      <c r="O83" s="443"/>
      <c r="P83" s="444"/>
      <c r="Q83" s="442"/>
      <c r="R83" s="442"/>
      <c r="S83" s="442"/>
      <c r="T83" s="453"/>
      <c r="U83" s="446"/>
      <c r="V83" s="442"/>
      <c r="W83" s="360"/>
      <c r="X83" s="360"/>
      <c r="Y83" s="360"/>
      <c r="Z83" s="360"/>
      <c r="AA83" s="360"/>
      <c r="AB83" s="360"/>
      <c r="AC83" s="360"/>
      <c r="AD83" s="360"/>
      <c r="AE83" s="360"/>
      <c r="AF83" s="360"/>
      <c r="AG83" s="360"/>
      <c r="AH83" s="360"/>
      <c r="AI83" s="360"/>
      <c r="AJ83" s="360"/>
      <c r="AK83" s="360"/>
      <c r="AL83" s="360"/>
      <c r="AM83" s="360"/>
      <c r="AN83" s="360"/>
      <c r="AO83" s="360"/>
    </row>
    <row r="84" spans="1:41" s="441" customFormat="1" x14ac:dyDescent="0.2">
      <c r="A84" s="439"/>
      <c r="B84" s="360"/>
      <c r="C84" s="360"/>
      <c r="D84" s="360"/>
      <c r="E84" s="360"/>
      <c r="F84" s="360"/>
      <c r="G84" s="360"/>
      <c r="H84" s="360"/>
      <c r="I84" s="440"/>
      <c r="J84" s="180"/>
      <c r="K84" s="447"/>
      <c r="L84" s="2009"/>
      <c r="N84" s="440"/>
      <c r="O84" s="443"/>
      <c r="P84" s="444"/>
      <c r="Q84" s="442"/>
      <c r="R84" s="442"/>
      <c r="S84" s="442"/>
      <c r="T84" s="453"/>
      <c r="U84" s="446"/>
      <c r="V84" s="442"/>
      <c r="W84" s="360"/>
      <c r="X84" s="360"/>
      <c r="Y84" s="360"/>
      <c r="Z84" s="360"/>
      <c r="AA84" s="360"/>
      <c r="AB84" s="360"/>
      <c r="AC84" s="360"/>
      <c r="AD84" s="360"/>
      <c r="AE84" s="360"/>
      <c r="AF84" s="360"/>
      <c r="AG84" s="360"/>
      <c r="AH84" s="360"/>
      <c r="AI84" s="360"/>
      <c r="AJ84" s="360"/>
      <c r="AK84" s="360"/>
      <c r="AL84" s="360"/>
      <c r="AM84" s="360"/>
      <c r="AN84" s="360"/>
      <c r="AO84" s="360"/>
    </row>
    <row r="85" spans="1:41" s="441" customFormat="1" x14ac:dyDescent="0.2">
      <c r="A85" s="439"/>
      <c r="B85" s="360"/>
      <c r="C85" s="360"/>
      <c r="D85" s="360"/>
      <c r="E85" s="360"/>
      <c r="F85" s="360"/>
      <c r="G85" s="360"/>
      <c r="H85" s="360"/>
      <c r="I85" s="440"/>
      <c r="J85" s="180"/>
      <c r="K85" s="447"/>
      <c r="L85" s="2082"/>
      <c r="N85" s="440"/>
      <c r="O85" s="443"/>
      <c r="P85" s="444"/>
      <c r="Q85" s="442"/>
      <c r="R85" s="442"/>
      <c r="S85" s="442"/>
      <c r="T85" s="453"/>
      <c r="U85" s="446"/>
      <c r="V85" s="442"/>
      <c r="W85" s="360"/>
      <c r="X85" s="360"/>
      <c r="Y85" s="360"/>
      <c r="Z85" s="360"/>
      <c r="AA85" s="360"/>
      <c r="AB85" s="360"/>
      <c r="AC85" s="360"/>
      <c r="AD85" s="360"/>
      <c r="AE85" s="360"/>
      <c r="AF85" s="360"/>
      <c r="AG85" s="360"/>
      <c r="AH85" s="360"/>
      <c r="AI85" s="360"/>
      <c r="AJ85" s="360"/>
      <c r="AK85" s="360"/>
      <c r="AL85" s="360"/>
      <c r="AM85" s="360"/>
      <c r="AN85" s="360"/>
      <c r="AO85" s="360"/>
    </row>
    <row r="86" spans="1:41" s="441" customFormat="1" x14ac:dyDescent="0.2">
      <c r="A86" s="439"/>
      <c r="B86" s="360"/>
      <c r="C86" s="360"/>
      <c r="D86" s="360"/>
      <c r="E86" s="360"/>
      <c r="F86" s="360"/>
      <c r="G86" s="360"/>
      <c r="H86" s="360"/>
      <c r="I86" s="440"/>
      <c r="J86" s="180"/>
      <c r="K86" s="447"/>
      <c r="L86" s="2082"/>
      <c r="N86" s="440"/>
      <c r="O86" s="443"/>
      <c r="P86" s="444"/>
      <c r="Q86" s="442"/>
      <c r="R86" s="442"/>
      <c r="S86" s="442"/>
      <c r="T86" s="453"/>
      <c r="U86" s="446"/>
      <c r="V86" s="442"/>
      <c r="W86" s="360"/>
      <c r="X86" s="360"/>
      <c r="Y86" s="360"/>
      <c r="Z86" s="360"/>
      <c r="AA86" s="360"/>
      <c r="AB86" s="360"/>
      <c r="AC86" s="360"/>
      <c r="AD86" s="360"/>
      <c r="AE86" s="360"/>
      <c r="AF86" s="360"/>
      <c r="AG86" s="360"/>
      <c r="AH86" s="360"/>
      <c r="AI86" s="360"/>
      <c r="AJ86" s="360"/>
      <c r="AK86" s="360"/>
      <c r="AL86" s="360"/>
      <c r="AM86" s="360"/>
      <c r="AN86" s="360"/>
      <c r="AO86" s="360"/>
    </row>
    <row r="87" spans="1:41" s="441" customFormat="1" x14ac:dyDescent="0.2">
      <c r="A87" s="439"/>
      <c r="B87" s="360"/>
      <c r="C87" s="360"/>
      <c r="D87" s="360"/>
      <c r="E87" s="360"/>
      <c r="F87" s="360"/>
      <c r="G87" s="360"/>
      <c r="H87" s="360"/>
      <c r="I87" s="440"/>
      <c r="J87" s="180"/>
      <c r="K87" s="447"/>
      <c r="L87" s="2082"/>
      <c r="N87" s="440"/>
      <c r="O87" s="443"/>
      <c r="P87" s="444"/>
      <c r="Q87" s="442"/>
      <c r="R87" s="442"/>
      <c r="S87" s="442"/>
      <c r="T87" s="453"/>
      <c r="U87" s="446"/>
      <c r="V87" s="442"/>
      <c r="W87" s="360"/>
      <c r="X87" s="360"/>
      <c r="Y87" s="360"/>
      <c r="Z87" s="360"/>
      <c r="AA87" s="360"/>
      <c r="AB87" s="360"/>
      <c r="AC87" s="360"/>
      <c r="AD87" s="360"/>
      <c r="AE87" s="360"/>
      <c r="AF87" s="360"/>
      <c r="AG87" s="360"/>
      <c r="AH87" s="360"/>
      <c r="AI87" s="360"/>
      <c r="AJ87" s="360"/>
      <c r="AK87" s="360"/>
      <c r="AL87" s="360"/>
      <c r="AM87" s="360"/>
      <c r="AN87" s="360"/>
      <c r="AO87" s="360"/>
    </row>
    <row r="88" spans="1:41" s="441" customFormat="1" x14ac:dyDescent="0.2">
      <c r="A88" s="439"/>
      <c r="B88" s="360"/>
      <c r="C88" s="360"/>
      <c r="D88" s="360"/>
      <c r="E88" s="360"/>
      <c r="F88" s="360"/>
      <c r="G88" s="360"/>
      <c r="H88" s="360"/>
      <c r="I88" s="440"/>
      <c r="J88" s="180"/>
      <c r="K88" s="447"/>
      <c r="L88" s="2082"/>
      <c r="N88" s="440"/>
      <c r="O88" s="443"/>
      <c r="P88" s="444"/>
      <c r="Q88" s="442"/>
      <c r="R88" s="442"/>
      <c r="S88" s="442"/>
      <c r="T88" s="453"/>
      <c r="U88" s="446"/>
      <c r="V88" s="442"/>
      <c r="W88" s="360"/>
      <c r="X88" s="360"/>
      <c r="Y88" s="360"/>
      <c r="Z88" s="360"/>
      <c r="AA88" s="360"/>
      <c r="AB88" s="360"/>
      <c r="AC88" s="360"/>
      <c r="AD88" s="360"/>
      <c r="AE88" s="360"/>
      <c r="AF88" s="360"/>
      <c r="AG88" s="360"/>
      <c r="AH88" s="360"/>
      <c r="AI88" s="360"/>
      <c r="AJ88" s="360"/>
      <c r="AK88" s="360"/>
      <c r="AL88" s="360"/>
      <c r="AM88" s="360"/>
      <c r="AN88" s="360"/>
      <c r="AO88" s="360"/>
    </row>
    <row r="89" spans="1:41" s="441" customFormat="1" x14ac:dyDescent="0.2">
      <c r="A89" s="439"/>
      <c r="B89" s="360"/>
      <c r="C89" s="360"/>
      <c r="D89" s="360"/>
      <c r="E89" s="360"/>
      <c r="F89" s="360"/>
      <c r="G89" s="360"/>
      <c r="H89" s="360"/>
      <c r="I89" s="440"/>
      <c r="J89" s="180"/>
      <c r="K89" s="447"/>
      <c r="L89" s="2082"/>
      <c r="N89" s="440"/>
      <c r="O89" s="443"/>
      <c r="P89" s="444"/>
      <c r="Q89" s="442"/>
      <c r="R89" s="442"/>
      <c r="S89" s="442"/>
      <c r="T89" s="453"/>
      <c r="U89" s="446"/>
      <c r="V89" s="442"/>
      <c r="W89" s="360"/>
      <c r="X89" s="360"/>
      <c r="Y89" s="360"/>
      <c r="Z89" s="360"/>
      <c r="AA89" s="360"/>
      <c r="AB89" s="360"/>
      <c r="AC89" s="360"/>
      <c r="AD89" s="360"/>
      <c r="AE89" s="360"/>
      <c r="AF89" s="360"/>
      <c r="AG89" s="360"/>
      <c r="AH89" s="360"/>
      <c r="AI89" s="360"/>
      <c r="AJ89" s="360"/>
      <c r="AK89" s="360"/>
      <c r="AL89" s="360"/>
      <c r="AM89" s="360"/>
      <c r="AN89" s="360"/>
      <c r="AO89" s="360"/>
    </row>
    <row r="90" spans="1:41" s="441" customFormat="1" x14ac:dyDescent="0.2">
      <c r="A90" s="439"/>
      <c r="B90" s="360"/>
      <c r="C90" s="360"/>
      <c r="D90" s="360"/>
      <c r="E90" s="360"/>
      <c r="F90" s="360"/>
      <c r="G90" s="360"/>
      <c r="H90" s="360"/>
      <c r="I90" s="440"/>
      <c r="J90" s="180"/>
      <c r="K90" s="447"/>
      <c r="L90" s="2082"/>
      <c r="N90" s="440"/>
      <c r="O90" s="443"/>
      <c r="P90" s="444"/>
      <c r="Q90" s="442"/>
      <c r="R90" s="442"/>
      <c r="S90" s="442"/>
      <c r="T90" s="453"/>
      <c r="U90" s="446"/>
      <c r="V90" s="442"/>
      <c r="W90" s="360"/>
      <c r="X90" s="360"/>
      <c r="Y90" s="360"/>
      <c r="Z90" s="360"/>
      <c r="AA90" s="360"/>
      <c r="AB90" s="360"/>
      <c r="AC90" s="360"/>
      <c r="AD90" s="360"/>
      <c r="AE90" s="360"/>
      <c r="AF90" s="360"/>
      <c r="AG90" s="360"/>
      <c r="AH90" s="360"/>
      <c r="AI90" s="360"/>
      <c r="AJ90" s="360"/>
      <c r="AK90" s="360"/>
      <c r="AL90" s="360"/>
      <c r="AM90" s="360"/>
      <c r="AN90" s="360"/>
      <c r="AO90" s="360"/>
    </row>
    <row r="91" spans="1:41" s="441" customFormat="1" x14ac:dyDescent="0.2">
      <c r="A91" s="439"/>
      <c r="B91" s="360"/>
      <c r="C91" s="360"/>
      <c r="D91" s="360"/>
      <c r="E91" s="360"/>
      <c r="F91" s="360"/>
      <c r="G91" s="360"/>
      <c r="H91" s="360"/>
      <c r="I91" s="440"/>
      <c r="J91" s="180"/>
      <c r="K91" s="447"/>
      <c r="L91" s="2082"/>
      <c r="N91" s="440"/>
      <c r="O91" s="443"/>
      <c r="P91" s="444"/>
      <c r="Q91" s="442"/>
      <c r="R91" s="442"/>
      <c r="S91" s="442"/>
      <c r="T91" s="453"/>
      <c r="U91" s="446"/>
      <c r="V91" s="442"/>
      <c r="W91" s="360"/>
      <c r="X91" s="360"/>
      <c r="Y91" s="360"/>
      <c r="Z91" s="360"/>
      <c r="AA91" s="360"/>
      <c r="AB91" s="360"/>
      <c r="AC91" s="360"/>
      <c r="AD91" s="360"/>
      <c r="AE91" s="360"/>
      <c r="AF91" s="360"/>
      <c r="AG91" s="360"/>
      <c r="AH91" s="360"/>
      <c r="AI91" s="360"/>
      <c r="AJ91" s="360"/>
      <c r="AK91" s="360"/>
      <c r="AL91" s="360"/>
      <c r="AM91" s="360"/>
      <c r="AN91" s="360"/>
      <c r="AO91" s="360"/>
    </row>
    <row r="92" spans="1:41" s="441" customFormat="1" x14ac:dyDescent="0.2">
      <c r="A92" s="439"/>
      <c r="B92" s="360"/>
      <c r="C92" s="360"/>
      <c r="D92" s="360"/>
      <c r="E92" s="360"/>
      <c r="F92" s="360"/>
      <c r="G92" s="360"/>
      <c r="H92" s="360"/>
      <c r="I92" s="440"/>
      <c r="J92" s="180"/>
      <c r="K92" s="447"/>
      <c r="L92" s="2082"/>
      <c r="N92" s="440"/>
      <c r="O92" s="443"/>
      <c r="P92" s="444"/>
      <c r="Q92" s="442"/>
      <c r="R92" s="442"/>
      <c r="S92" s="442"/>
      <c r="T92" s="453"/>
      <c r="U92" s="446"/>
      <c r="V92" s="442"/>
      <c r="W92" s="360"/>
      <c r="X92" s="360"/>
      <c r="Y92" s="360"/>
      <c r="Z92" s="360"/>
      <c r="AA92" s="360"/>
      <c r="AB92" s="360"/>
      <c r="AC92" s="360"/>
      <c r="AD92" s="360"/>
      <c r="AE92" s="360"/>
      <c r="AF92" s="360"/>
      <c r="AG92" s="360"/>
      <c r="AH92" s="360"/>
      <c r="AI92" s="360"/>
      <c r="AJ92" s="360"/>
      <c r="AK92" s="360"/>
      <c r="AL92" s="360"/>
      <c r="AM92" s="360"/>
      <c r="AN92" s="360"/>
      <c r="AO92" s="360"/>
    </row>
    <row r="93" spans="1:41" s="441" customFormat="1" x14ac:dyDescent="0.2">
      <c r="A93" s="439"/>
      <c r="B93" s="360"/>
      <c r="C93" s="360"/>
      <c r="D93" s="360"/>
      <c r="E93" s="360"/>
      <c r="F93" s="360"/>
      <c r="G93" s="360"/>
      <c r="H93" s="360"/>
      <c r="I93" s="440"/>
      <c r="J93" s="180"/>
      <c r="K93" s="447"/>
      <c r="L93" s="2082"/>
      <c r="N93" s="440"/>
      <c r="O93" s="443"/>
      <c r="P93" s="444"/>
      <c r="Q93" s="442"/>
      <c r="R93" s="442"/>
      <c r="S93" s="442"/>
      <c r="T93" s="453"/>
      <c r="U93" s="446"/>
      <c r="V93" s="442"/>
      <c r="W93" s="360"/>
      <c r="X93" s="360"/>
      <c r="Y93" s="360"/>
      <c r="Z93" s="360"/>
      <c r="AA93" s="360"/>
      <c r="AB93" s="360"/>
      <c r="AC93" s="360"/>
      <c r="AD93" s="360"/>
      <c r="AE93" s="360"/>
      <c r="AF93" s="360"/>
      <c r="AG93" s="360"/>
      <c r="AH93" s="360"/>
      <c r="AI93" s="360"/>
      <c r="AJ93" s="360"/>
      <c r="AK93" s="360"/>
      <c r="AL93" s="360"/>
      <c r="AM93" s="360"/>
      <c r="AN93" s="360"/>
      <c r="AO93" s="360"/>
    </row>
    <row r="94" spans="1:41" s="441" customFormat="1" x14ac:dyDescent="0.2">
      <c r="A94" s="439"/>
      <c r="B94" s="360"/>
      <c r="C94" s="360"/>
      <c r="D94" s="360"/>
      <c r="E94" s="360"/>
      <c r="F94" s="360"/>
      <c r="G94" s="360"/>
      <c r="H94" s="360"/>
      <c r="I94" s="440"/>
      <c r="J94" s="180"/>
      <c r="K94" s="447"/>
      <c r="L94" s="2082"/>
      <c r="N94" s="440"/>
      <c r="O94" s="443"/>
      <c r="P94" s="444"/>
      <c r="Q94" s="442"/>
      <c r="R94" s="442"/>
      <c r="S94" s="442"/>
      <c r="T94" s="453"/>
      <c r="U94" s="446"/>
      <c r="V94" s="442"/>
      <c r="W94" s="360"/>
      <c r="X94" s="360"/>
      <c r="Y94" s="360"/>
      <c r="Z94" s="360"/>
      <c r="AA94" s="360"/>
      <c r="AB94" s="360"/>
      <c r="AC94" s="360"/>
      <c r="AD94" s="360"/>
      <c r="AE94" s="360"/>
      <c r="AF94" s="360"/>
      <c r="AG94" s="360"/>
      <c r="AH94" s="360"/>
      <c r="AI94" s="360"/>
      <c r="AJ94" s="360"/>
      <c r="AK94" s="360"/>
      <c r="AL94" s="360"/>
      <c r="AM94" s="360"/>
      <c r="AN94" s="360"/>
      <c r="AO94" s="360"/>
    </row>
    <row r="95" spans="1:41" s="441" customFormat="1" x14ac:dyDescent="0.2">
      <c r="A95" s="439"/>
      <c r="B95" s="360"/>
      <c r="C95" s="360"/>
      <c r="D95" s="360"/>
      <c r="E95" s="360"/>
      <c r="F95" s="360"/>
      <c r="G95" s="360"/>
      <c r="H95" s="360"/>
      <c r="I95" s="440"/>
      <c r="J95" s="180"/>
      <c r="K95" s="447"/>
      <c r="L95" s="2082"/>
      <c r="N95" s="440"/>
      <c r="O95" s="443"/>
      <c r="P95" s="444"/>
      <c r="Q95" s="442"/>
      <c r="R95" s="442"/>
      <c r="S95" s="442"/>
      <c r="T95" s="453"/>
      <c r="U95" s="446"/>
      <c r="V95" s="442"/>
      <c r="W95" s="360"/>
      <c r="X95" s="360"/>
      <c r="Y95" s="360"/>
      <c r="Z95" s="360"/>
      <c r="AA95" s="360"/>
      <c r="AB95" s="360"/>
      <c r="AC95" s="360"/>
      <c r="AD95" s="360"/>
      <c r="AE95" s="360"/>
      <c r="AF95" s="360"/>
      <c r="AG95" s="360"/>
      <c r="AH95" s="360"/>
      <c r="AI95" s="360"/>
      <c r="AJ95" s="360"/>
      <c r="AK95" s="360"/>
      <c r="AL95" s="360"/>
      <c r="AM95" s="360"/>
      <c r="AN95" s="360"/>
      <c r="AO95" s="360"/>
    </row>
    <row r="96" spans="1:41" s="441" customFormat="1" x14ac:dyDescent="0.2">
      <c r="A96" s="439"/>
      <c r="B96" s="360"/>
      <c r="C96" s="360"/>
      <c r="D96" s="360"/>
      <c r="E96" s="360"/>
      <c r="F96" s="360"/>
      <c r="G96" s="360"/>
      <c r="H96" s="360"/>
      <c r="I96" s="440"/>
      <c r="J96" s="180"/>
      <c r="K96" s="447"/>
      <c r="L96" s="2082"/>
      <c r="N96" s="440"/>
      <c r="O96" s="443"/>
      <c r="P96" s="444"/>
      <c r="Q96" s="442"/>
      <c r="R96" s="442"/>
      <c r="S96" s="442"/>
      <c r="T96" s="453"/>
      <c r="U96" s="446"/>
      <c r="V96" s="442"/>
      <c r="W96" s="360"/>
      <c r="X96" s="360"/>
      <c r="Y96" s="360"/>
      <c r="Z96" s="360"/>
      <c r="AA96" s="360"/>
      <c r="AB96" s="360"/>
      <c r="AC96" s="360"/>
      <c r="AD96" s="360"/>
      <c r="AE96" s="360"/>
      <c r="AF96" s="360"/>
      <c r="AG96" s="360"/>
      <c r="AH96" s="360"/>
      <c r="AI96" s="360"/>
      <c r="AJ96" s="360"/>
      <c r="AK96" s="360"/>
      <c r="AL96" s="360"/>
      <c r="AM96" s="360"/>
      <c r="AN96" s="360"/>
      <c r="AO96" s="360"/>
    </row>
    <row r="97" spans="1:41" s="441" customFormat="1" x14ac:dyDescent="0.2">
      <c r="A97" s="439"/>
      <c r="B97" s="360"/>
      <c r="C97" s="360"/>
      <c r="D97" s="360"/>
      <c r="E97" s="360"/>
      <c r="F97" s="360"/>
      <c r="G97" s="360"/>
      <c r="H97" s="360"/>
      <c r="I97" s="440"/>
      <c r="J97" s="180"/>
      <c r="K97" s="447"/>
      <c r="L97" s="2082"/>
      <c r="N97" s="440"/>
      <c r="O97" s="443"/>
      <c r="P97" s="444"/>
      <c r="Q97" s="442"/>
      <c r="R97" s="442"/>
      <c r="S97" s="442"/>
      <c r="T97" s="453"/>
      <c r="U97" s="446"/>
      <c r="V97" s="442"/>
      <c r="W97" s="360"/>
      <c r="X97" s="360"/>
      <c r="Y97" s="360"/>
      <c r="Z97" s="360"/>
      <c r="AA97" s="360"/>
      <c r="AB97" s="360"/>
      <c r="AC97" s="360"/>
      <c r="AD97" s="360"/>
      <c r="AE97" s="360"/>
      <c r="AF97" s="360"/>
      <c r="AG97" s="360"/>
      <c r="AH97" s="360"/>
      <c r="AI97" s="360"/>
      <c r="AJ97" s="360"/>
      <c r="AK97" s="360"/>
      <c r="AL97" s="360"/>
      <c r="AM97" s="360"/>
      <c r="AN97" s="360"/>
      <c r="AO97" s="360"/>
    </row>
    <row r="98" spans="1:41" s="441" customFormat="1" x14ac:dyDescent="0.2">
      <c r="A98" s="439"/>
      <c r="B98" s="360"/>
      <c r="C98" s="360"/>
      <c r="D98" s="360"/>
      <c r="E98" s="360"/>
      <c r="F98" s="360"/>
      <c r="G98" s="360"/>
      <c r="H98" s="360"/>
      <c r="I98" s="440"/>
      <c r="J98" s="180"/>
      <c r="K98" s="447"/>
      <c r="L98" s="2082"/>
      <c r="N98" s="440"/>
      <c r="O98" s="443"/>
      <c r="P98" s="444"/>
      <c r="Q98" s="442"/>
      <c r="R98" s="442"/>
      <c r="S98" s="442"/>
      <c r="T98" s="453"/>
      <c r="U98" s="446"/>
      <c r="V98" s="442"/>
      <c r="W98" s="360"/>
      <c r="X98" s="360"/>
      <c r="Y98" s="360"/>
      <c r="Z98" s="360"/>
      <c r="AA98" s="360"/>
      <c r="AB98" s="360"/>
      <c r="AC98" s="360"/>
      <c r="AD98" s="360"/>
      <c r="AE98" s="360"/>
      <c r="AF98" s="360"/>
      <c r="AG98" s="360"/>
      <c r="AH98" s="360"/>
      <c r="AI98" s="360"/>
      <c r="AJ98" s="360"/>
      <c r="AK98" s="360"/>
      <c r="AL98" s="360"/>
      <c r="AM98" s="360"/>
      <c r="AN98" s="360"/>
      <c r="AO98" s="360"/>
    </row>
    <row r="99" spans="1:41" s="441" customFormat="1" x14ac:dyDescent="0.2">
      <c r="A99" s="439"/>
      <c r="B99" s="360"/>
      <c r="C99" s="360"/>
      <c r="D99" s="360"/>
      <c r="E99" s="360"/>
      <c r="F99" s="360"/>
      <c r="G99" s="360"/>
      <c r="H99" s="360"/>
      <c r="I99" s="440"/>
      <c r="J99" s="180"/>
      <c r="K99" s="447"/>
      <c r="L99" s="2082"/>
      <c r="N99" s="440"/>
      <c r="O99" s="443"/>
      <c r="P99" s="444"/>
      <c r="Q99" s="442"/>
      <c r="R99" s="442"/>
      <c r="S99" s="442"/>
      <c r="T99" s="453"/>
      <c r="U99" s="446"/>
      <c r="V99" s="442"/>
      <c r="W99" s="360"/>
      <c r="X99" s="360"/>
      <c r="Y99" s="360"/>
      <c r="Z99" s="360"/>
      <c r="AA99" s="360"/>
      <c r="AB99" s="360"/>
      <c r="AC99" s="360"/>
      <c r="AD99" s="360"/>
      <c r="AE99" s="360"/>
      <c r="AF99" s="360"/>
      <c r="AG99" s="360"/>
      <c r="AH99" s="360"/>
      <c r="AI99" s="360"/>
      <c r="AJ99" s="360"/>
      <c r="AK99" s="360"/>
      <c r="AL99" s="360"/>
      <c r="AM99" s="360"/>
      <c r="AN99" s="360"/>
      <c r="AO99" s="360"/>
    </row>
    <row r="100" spans="1:41" s="441" customFormat="1" x14ac:dyDescent="0.2">
      <c r="A100" s="439"/>
      <c r="B100" s="360"/>
      <c r="C100" s="360"/>
      <c r="D100" s="360"/>
      <c r="E100" s="360"/>
      <c r="F100" s="360"/>
      <c r="G100" s="360"/>
      <c r="H100" s="360"/>
      <c r="I100" s="440"/>
      <c r="J100" s="180"/>
      <c r="K100" s="447"/>
      <c r="L100" s="2082"/>
      <c r="N100" s="440"/>
      <c r="O100" s="443"/>
      <c r="P100" s="444"/>
      <c r="Q100" s="442"/>
      <c r="R100" s="442"/>
      <c r="S100" s="442"/>
      <c r="T100" s="453"/>
      <c r="U100" s="446"/>
      <c r="V100" s="442"/>
      <c r="W100" s="360"/>
      <c r="X100" s="360"/>
      <c r="Y100" s="360"/>
      <c r="Z100" s="360"/>
      <c r="AA100" s="360"/>
      <c r="AB100" s="360"/>
      <c r="AC100" s="360"/>
      <c r="AD100" s="360"/>
      <c r="AE100" s="360"/>
      <c r="AF100" s="360"/>
      <c r="AG100" s="360"/>
      <c r="AH100" s="360"/>
      <c r="AI100" s="360"/>
      <c r="AJ100" s="360"/>
      <c r="AK100" s="360"/>
      <c r="AL100" s="360"/>
      <c r="AM100" s="360"/>
      <c r="AN100" s="360"/>
      <c r="AO100" s="360"/>
    </row>
    <row r="101" spans="1:41" s="441" customFormat="1" x14ac:dyDescent="0.2">
      <c r="A101" s="439"/>
      <c r="B101" s="360"/>
      <c r="C101" s="360"/>
      <c r="D101" s="360"/>
      <c r="E101" s="360"/>
      <c r="F101" s="360"/>
      <c r="G101" s="360"/>
      <c r="H101" s="360"/>
      <c r="I101" s="440"/>
      <c r="J101" s="180"/>
      <c r="K101" s="447"/>
      <c r="L101" s="2082"/>
      <c r="N101" s="440"/>
      <c r="O101" s="443"/>
      <c r="P101" s="444"/>
      <c r="Q101" s="442"/>
      <c r="R101" s="442"/>
      <c r="S101" s="442"/>
      <c r="T101" s="453"/>
      <c r="U101" s="446"/>
      <c r="V101" s="442"/>
      <c r="W101" s="360"/>
      <c r="X101" s="360"/>
      <c r="Y101" s="360"/>
      <c r="Z101" s="360"/>
      <c r="AA101" s="360"/>
      <c r="AB101" s="360"/>
      <c r="AC101" s="360"/>
      <c r="AD101" s="360"/>
      <c r="AE101" s="360"/>
      <c r="AF101" s="360"/>
      <c r="AG101" s="360"/>
      <c r="AH101" s="360"/>
      <c r="AI101" s="360"/>
      <c r="AJ101" s="360"/>
      <c r="AK101" s="360"/>
      <c r="AL101" s="360"/>
      <c r="AM101" s="360"/>
      <c r="AN101" s="360"/>
      <c r="AO101" s="360"/>
    </row>
    <row r="102" spans="1:41" s="441" customFormat="1" x14ac:dyDescent="0.2">
      <c r="A102" s="439"/>
      <c r="B102" s="360"/>
      <c r="C102" s="360"/>
      <c r="D102" s="360"/>
      <c r="E102" s="360"/>
      <c r="F102" s="360"/>
      <c r="G102" s="360"/>
      <c r="H102" s="360"/>
      <c r="I102" s="440"/>
      <c r="J102" s="180"/>
      <c r="K102" s="447"/>
      <c r="L102" s="2082"/>
      <c r="N102" s="440"/>
      <c r="O102" s="443"/>
      <c r="P102" s="444"/>
      <c r="Q102" s="442"/>
      <c r="R102" s="442"/>
      <c r="S102" s="442"/>
      <c r="T102" s="453"/>
      <c r="U102" s="446"/>
      <c r="V102" s="442"/>
      <c r="W102" s="360"/>
      <c r="X102" s="360"/>
      <c r="Y102" s="360"/>
      <c r="Z102" s="360"/>
      <c r="AA102" s="360"/>
      <c r="AB102" s="360"/>
      <c r="AC102" s="360"/>
      <c r="AD102" s="360"/>
      <c r="AE102" s="360"/>
      <c r="AF102" s="360"/>
      <c r="AG102" s="360"/>
      <c r="AH102" s="360"/>
      <c r="AI102" s="360"/>
      <c r="AJ102" s="360"/>
      <c r="AK102" s="360"/>
      <c r="AL102" s="360"/>
      <c r="AM102" s="360"/>
      <c r="AN102" s="360"/>
      <c r="AO102" s="360"/>
    </row>
    <row r="103" spans="1:41" s="441" customFormat="1" x14ac:dyDescent="0.2">
      <c r="A103" s="439"/>
      <c r="B103" s="360"/>
      <c r="C103" s="360"/>
      <c r="D103" s="360"/>
      <c r="E103" s="360"/>
      <c r="F103" s="360"/>
      <c r="G103" s="360"/>
      <c r="H103" s="360"/>
      <c r="I103" s="440"/>
      <c r="J103" s="180"/>
      <c r="K103" s="447"/>
      <c r="L103" s="2082"/>
      <c r="N103" s="440"/>
      <c r="O103" s="443"/>
      <c r="P103" s="444"/>
      <c r="Q103" s="442"/>
      <c r="R103" s="442"/>
      <c r="S103" s="442"/>
      <c r="T103" s="453"/>
      <c r="U103" s="446"/>
      <c r="V103" s="442"/>
      <c r="W103" s="360"/>
      <c r="X103" s="360"/>
      <c r="Y103" s="360"/>
      <c r="Z103" s="360"/>
      <c r="AA103" s="360"/>
      <c r="AB103" s="360"/>
      <c r="AC103" s="360"/>
      <c r="AD103" s="360"/>
      <c r="AE103" s="360"/>
      <c r="AF103" s="360"/>
      <c r="AG103" s="360"/>
      <c r="AH103" s="360"/>
      <c r="AI103" s="360"/>
      <c r="AJ103" s="360"/>
      <c r="AK103" s="360"/>
      <c r="AL103" s="360"/>
      <c r="AM103" s="360"/>
      <c r="AN103" s="360"/>
      <c r="AO103" s="360"/>
    </row>
    <row r="104" spans="1:41" s="441" customFormat="1" x14ac:dyDescent="0.2">
      <c r="A104" s="439"/>
      <c r="B104" s="360"/>
      <c r="C104" s="360"/>
      <c r="D104" s="360"/>
      <c r="E104" s="360"/>
      <c r="F104" s="360"/>
      <c r="G104" s="360"/>
      <c r="H104" s="360"/>
      <c r="I104" s="440"/>
      <c r="J104" s="180"/>
      <c r="K104" s="447"/>
      <c r="L104" s="2082"/>
      <c r="N104" s="440"/>
      <c r="O104" s="443"/>
      <c r="P104" s="444"/>
      <c r="Q104" s="442"/>
      <c r="R104" s="442"/>
      <c r="S104" s="442"/>
      <c r="T104" s="453"/>
      <c r="U104" s="446"/>
      <c r="V104" s="442"/>
      <c r="W104" s="360"/>
      <c r="X104" s="360"/>
      <c r="Y104" s="360"/>
      <c r="Z104" s="360"/>
      <c r="AA104" s="360"/>
      <c r="AB104" s="360"/>
      <c r="AC104" s="360"/>
      <c r="AD104" s="360"/>
      <c r="AE104" s="360"/>
      <c r="AF104" s="360"/>
      <c r="AG104" s="360"/>
      <c r="AH104" s="360"/>
      <c r="AI104" s="360"/>
      <c r="AJ104" s="360"/>
      <c r="AK104" s="360"/>
      <c r="AL104" s="360"/>
      <c r="AM104" s="360"/>
      <c r="AN104" s="360"/>
      <c r="AO104" s="360"/>
    </row>
    <row r="105" spans="1:41" s="441" customFormat="1" x14ac:dyDescent="0.2">
      <c r="A105" s="439"/>
      <c r="B105" s="360"/>
      <c r="C105" s="360"/>
      <c r="D105" s="360"/>
      <c r="E105" s="360"/>
      <c r="F105" s="360"/>
      <c r="G105" s="360"/>
      <c r="H105" s="360"/>
      <c r="I105" s="440"/>
      <c r="J105" s="180"/>
      <c r="K105" s="447"/>
      <c r="L105" s="2082"/>
      <c r="N105" s="440"/>
      <c r="O105" s="443"/>
      <c r="P105" s="444"/>
      <c r="Q105" s="442"/>
      <c r="R105" s="442"/>
      <c r="S105" s="442"/>
      <c r="T105" s="453"/>
      <c r="U105" s="446"/>
      <c r="V105" s="442"/>
      <c r="W105" s="360"/>
      <c r="X105" s="360"/>
      <c r="Y105" s="360"/>
      <c r="Z105" s="360"/>
      <c r="AA105" s="360"/>
      <c r="AB105" s="360"/>
      <c r="AC105" s="360"/>
      <c r="AD105" s="360"/>
      <c r="AE105" s="360"/>
      <c r="AF105" s="360"/>
      <c r="AG105" s="360"/>
      <c r="AH105" s="360"/>
      <c r="AI105" s="360"/>
      <c r="AJ105" s="360"/>
      <c r="AK105" s="360"/>
      <c r="AL105" s="360"/>
      <c r="AM105" s="360"/>
      <c r="AN105" s="360"/>
      <c r="AO105" s="360"/>
    </row>
    <row r="106" spans="1:41" s="441" customFormat="1" x14ac:dyDescent="0.2">
      <c r="A106" s="439"/>
      <c r="B106" s="360"/>
      <c r="C106" s="360"/>
      <c r="D106" s="360"/>
      <c r="E106" s="360"/>
      <c r="F106" s="360"/>
      <c r="G106" s="360"/>
      <c r="H106" s="360"/>
      <c r="I106" s="440"/>
      <c r="J106" s="180"/>
      <c r="K106" s="447"/>
      <c r="L106" s="2082"/>
      <c r="N106" s="440"/>
      <c r="O106" s="443"/>
      <c r="P106" s="444"/>
      <c r="Q106" s="442"/>
      <c r="R106" s="442"/>
      <c r="S106" s="442"/>
      <c r="T106" s="453"/>
      <c r="U106" s="446"/>
      <c r="V106" s="442"/>
      <c r="W106" s="360"/>
      <c r="X106" s="360"/>
      <c r="Y106" s="360"/>
      <c r="Z106" s="360"/>
      <c r="AA106" s="360"/>
      <c r="AB106" s="360"/>
      <c r="AC106" s="360"/>
      <c r="AD106" s="360"/>
      <c r="AE106" s="360"/>
      <c r="AF106" s="360"/>
      <c r="AG106" s="360"/>
      <c r="AH106" s="360"/>
      <c r="AI106" s="360"/>
      <c r="AJ106" s="360"/>
      <c r="AK106" s="360"/>
      <c r="AL106" s="360"/>
      <c r="AM106" s="360"/>
      <c r="AN106" s="360"/>
      <c r="AO106" s="360"/>
    </row>
    <row r="107" spans="1:41" s="441" customFormat="1" x14ac:dyDescent="0.2">
      <c r="A107" s="439"/>
      <c r="B107" s="360"/>
      <c r="C107" s="360"/>
      <c r="D107" s="360"/>
      <c r="E107" s="360"/>
      <c r="F107" s="360"/>
      <c r="G107" s="360"/>
      <c r="H107" s="360"/>
      <c r="I107" s="440"/>
      <c r="J107" s="180"/>
      <c r="K107" s="447"/>
      <c r="L107" s="2082"/>
      <c r="N107" s="440"/>
      <c r="O107" s="443"/>
      <c r="P107" s="444"/>
      <c r="Q107" s="442"/>
      <c r="R107" s="442"/>
      <c r="S107" s="442"/>
      <c r="T107" s="453"/>
      <c r="U107" s="446"/>
      <c r="V107" s="442"/>
      <c r="W107" s="360"/>
      <c r="X107" s="360"/>
      <c r="Y107" s="360"/>
      <c r="Z107" s="360"/>
      <c r="AA107" s="360"/>
      <c r="AB107" s="360"/>
      <c r="AC107" s="360"/>
      <c r="AD107" s="360"/>
      <c r="AE107" s="360"/>
      <c r="AF107" s="360"/>
      <c r="AG107" s="360"/>
      <c r="AH107" s="360"/>
      <c r="AI107" s="360"/>
      <c r="AJ107" s="360"/>
      <c r="AK107" s="360"/>
      <c r="AL107" s="360"/>
      <c r="AM107" s="360"/>
      <c r="AN107" s="360"/>
      <c r="AO107" s="360"/>
    </row>
    <row r="108" spans="1:41" s="441" customFormat="1" x14ac:dyDescent="0.2">
      <c r="A108" s="439"/>
      <c r="B108" s="360"/>
      <c r="C108" s="360"/>
      <c r="D108" s="360"/>
      <c r="E108" s="360"/>
      <c r="F108" s="360"/>
      <c r="G108" s="360"/>
      <c r="H108" s="360"/>
      <c r="I108" s="440"/>
      <c r="J108" s="180"/>
      <c r="K108" s="447"/>
      <c r="L108" s="2082"/>
      <c r="N108" s="440"/>
      <c r="O108" s="443"/>
      <c r="P108" s="444"/>
      <c r="Q108" s="442"/>
      <c r="R108" s="442"/>
      <c r="S108" s="442"/>
      <c r="T108" s="453"/>
      <c r="U108" s="446"/>
      <c r="V108" s="442"/>
      <c r="W108" s="360"/>
      <c r="X108" s="360"/>
      <c r="Y108" s="360"/>
      <c r="Z108" s="360"/>
      <c r="AA108" s="360"/>
      <c r="AB108" s="360"/>
      <c r="AC108" s="360"/>
      <c r="AD108" s="360"/>
      <c r="AE108" s="360"/>
      <c r="AF108" s="360"/>
      <c r="AG108" s="360"/>
      <c r="AH108" s="360"/>
      <c r="AI108" s="360"/>
      <c r="AJ108" s="360"/>
      <c r="AK108" s="360"/>
      <c r="AL108" s="360"/>
      <c r="AM108" s="360"/>
      <c r="AN108" s="360"/>
      <c r="AO108" s="360"/>
    </row>
    <row r="109" spans="1:41" s="441" customFormat="1" x14ac:dyDescent="0.2">
      <c r="A109" s="439"/>
      <c r="B109" s="360"/>
      <c r="C109" s="360"/>
      <c r="D109" s="360"/>
      <c r="E109" s="360"/>
      <c r="F109" s="360"/>
      <c r="G109" s="360"/>
      <c r="H109" s="360"/>
      <c r="I109" s="440"/>
      <c r="J109" s="180"/>
      <c r="K109" s="447"/>
      <c r="L109" s="2082"/>
      <c r="N109" s="440"/>
      <c r="O109" s="443"/>
      <c r="P109" s="444"/>
      <c r="Q109" s="442"/>
      <c r="R109" s="442"/>
      <c r="S109" s="442"/>
      <c r="T109" s="453"/>
      <c r="U109" s="446"/>
      <c r="V109" s="442"/>
      <c r="W109" s="360"/>
      <c r="X109" s="360"/>
      <c r="Y109" s="360"/>
      <c r="Z109" s="360"/>
      <c r="AA109" s="360"/>
      <c r="AB109" s="360"/>
      <c r="AC109" s="360"/>
      <c r="AD109" s="360"/>
      <c r="AE109" s="360"/>
      <c r="AF109" s="360"/>
      <c r="AG109" s="360"/>
      <c r="AH109" s="360"/>
      <c r="AI109" s="360"/>
      <c r="AJ109" s="360"/>
      <c r="AK109" s="360"/>
      <c r="AL109" s="360"/>
      <c r="AM109" s="360"/>
      <c r="AN109" s="360"/>
      <c r="AO109" s="360"/>
    </row>
    <row r="110" spans="1:41" s="441" customFormat="1" x14ac:dyDescent="0.2">
      <c r="A110" s="439"/>
      <c r="B110" s="360"/>
      <c r="C110" s="360"/>
      <c r="D110" s="360"/>
      <c r="E110" s="360"/>
      <c r="F110" s="360"/>
      <c r="G110" s="360"/>
      <c r="H110" s="360"/>
      <c r="I110" s="440"/>
      <c r="J110" s="180"/>
      <c r="K110" s="447"/>
      <c r="L110" s="2082"/>
      <c r="N110" s="440"/>
      <c r="O110" s="443"/>
      <c r="P110" s="444"/>
      <c r="Q110" s="442"/>
      <c r="R110" s="442"/>
      <c r="S110" s="442"/>
      <c r="T110" s="453"/>
      <c r="U110" s="446"/>
      <c r="V110" s="442"/>
      <c r="W110" s="360"/>
      <c r="X110" s="360"/>
      <c r="Y110" s="360"/>
      <c r="Z110" s="360"/>
      <c r="AA110" s="360"/>
      <c r="AB110" s="360"/>
      <c r="AC110" s="360"/>
      <c r="AD110" s="360"/>
      <c r="AE110" s="360"/>
      <c r="AF110" s="360"/>
      <c r="AG110" s="360"/>
      <c r="AH110" s="360"/>
      <c r="AI110" s="360"/>
      <c r="AJ110" s="360"/>
      <c r="AK110" s="360"/>
      <c r="AL110" s="360"/>
      <c r="AM110" s="360"/>
      <c r="AN110" s="360"/>
      <c r="AO110" s="360"/>
    </row>
    <row r="111" spans="1:41" s="441" customFormat="1" x14ac:dyDescent="0.2">
      <c r="A111" s="439"/>
      <c r="B111" s="360"/>
      <c r="C111" s="360"/>
      <c r="D111" s="360"/>
      <c r="E111" s="360"/>
      <c r="F111" s="360"/>
      <c r="G111" s="360"/>
      <c r="H111" s="360"/>
      <c r="I111" s="440"/>
      <c r="J111" s="180"/>
      <c r="K111" s="447"/>
      <c r="L111" s="2082"/>
      <c r="N111" s="440"/>
      <c r="O111" s="443"/>
      <c r="P111" s="444"/>
      <c r="Q111" s="442"/>
      <c r="R111" s="442"/>
      <c r="S111" s="442"/>
      <c r="T111" s="453"/>
      <c r="U111" s="446"/>
      <c r="V111" s="442"/>
      <c r="W111" s="360"/>
      <c r="X111" s="360"/>
      <c r="Y111" s="360"/>
      <c r="Z111" s="360"/>
      <c r="AA111" s="360"/>
      <c r="AB111" s="360"/>
      <c r="AC111" s="360"/>
      <c r="AD111" s="360"/>
      <c r="AE111" s="360"/>
      <c r="AF111" s="360"/>
      <c r="AG111" s="360"/>
      <c r="AH111" s="360"/>
      <c r="AI111" s="360"/>
      <c r="AJ111" s="360"/>
      <c r="AK111" s="360"/>
      <c r="AL111" s="360"/>
      <c r="AM111" s="360"/>
      <c r="AN111" s="360"/>
      <c r="AO111" s="360"/>
    </row>
    <row r="112" spans="1:41" s="441" customFormat="1" x14ac:dyDescent="0.2">
      <c r="A112" s="439"/>
      <c r="B112" s="360"/>
      <c r="C112" s="360"/>
      <c r="D112" s="360"/>
      <c r="E112" s="360"/>
      <c r="F112" s="360"/>
      <c r="G112" s="360"/>
      <c r="H112" s="360"/>
      <c r="I112" s="440"/>
      <c r="J112" s="180"/>
      <c r="K112" s="447"/>
      <c r="L112" s="2082"/>
      <c r="N112" s="440"/>
      <c r="O112" s="443"/>
      <c r="P112" s="444"/>
      <c r="Q112" s="442"/>
      <c r="R112" s="442"/>
      <c r="S112" s="442"/>
      <c r="T112" s="453"/>
      <c r="U112" s="446"/>
      <c r="V112" s="442"/>
      <c r="W112" s="360"/>
      <c r="X112" s="360"/>
      <c r="Y112" s="360"/>
      <c r="Z112" s="360"/>
      <c r="AA112" s="360"/>
      <c r="AB112" s="360"/>
      <c r="AC112" s="360"/>
      <c r="AD112" s="360"/>
      <c r="AE112" s="360"/>
      <c r="AF112" s="360"/>
      <c r="AG112" s="360"/>
      <c r="AH112" s="360"/>
      <c r="AI112" s="360"/>
      <c r="AJ112" s="360"/>
      <c r="AK112" s="360"/>
      <c r="AL112" s="360"/>
      <c r="AM112" s="360"/>
      <c r="AN112" s="360"/>
      <c r="AO112" s="360"/>
    </row>
    <row r="113" spans="1:41" s="441" customFormat="1" x14ac:dyDescent="0.2">
      <c r="A113" s="439"/>
      <c r="B113" s="360"/>
      <c r="C113" s="360"/>
      <c r="D113" s="360"/>
      <c r="E113" s="360"/>
      <c r="F113" s="360"/>
      <c r="G113" s="360"/>
      <c r="H113" s="360"/>
      <c r="I113" s="440"/>
      <c r="J113" s="180"/>
      <c r="K113" s="447"/>
      <c r="L113" s="2082"/>
      <c r="N113" s="440"/>
      <c r="O113" s="443"/>
      <c r="P113" s="444"/>
      <c r="Q113" s="442"/>
      <c r="R113" s="442"/>
      <c r="S113" s="442"/>
      <c r="T113" s="453"/>
      <c r="U113" s="446"/>
      <c r="V113" s="442"/>
      <c r="W113" s="360"/>
      <c r="X113" s="360"/>
      <c r="Y113" s="360"/>
      <c r="Z113" s="360"/>
      <c r="AA113" s="360"/>
      <c r="AB113" s="360"/>
      <c r="AC113" s="360"/>
      <c r="AD113" s="360"/>
      <c r="AE113" s="360"/>
      <c r="AF113" s="360"/>
      <c r="AG113" s="360"/>
      <c r="AH113" s="360"/>
      <c r="AI113" s="360"/>
      <c r="AJ113" s="360"/>
      <c r="AK113" s="360"/>
      <c r="AL113" s="360"/>
      <c r="AM113" s="360"/>
      <c r="AN113" s="360"/>
      <c r="AO113" s="360"/>
    </row>
    <row r="114" spans="1:41" s="441" customFormat="1" x14ac:dyDescent="0.2">
      <c r="A114" s="439"/>
      <c r="B114" s="360"/>
      <c r="C114" s="360"/>
      <c r="D114" s="360"/>
      <c r="E114" s="360"/>
      <c r="F114" s="360"/>
      <c r="G114" s="360"/>
      <c r="H114" s="360"/>
      <c r="I114" s="440"/>
      <c r="J114" s="180"/>
      <c r="K114" s="447"/>
      <c r="L114" s="2082"/>
      <c r="N114" s="440"/>
      <c r="O114" s="443"/>
      <c r="P114" s="444"/>
      <c r="Q114" s="442"/>
      <c r="R114" s="442"/>
      <c r="S114" s="442"/>
      <c r="T114" s="453"/>
      <c r="U114" s="446"/>
      <c r="V114" s="442"/>
      <c r="W114" s="360"/>
      <c r="X114" s="360"/>
      <c r="Y114" s="360"/>
      <c r="Z114" s="360"/>
      <c r="AA114" s="360"/>
      <c r="AB114" s="360"/>
      <c r="AC114" s="360"/>
      <c r="AD114" s="360"/>
      <c r="AE114" s="360"/>
      <c r="AF114" s="360"/>
      <c r="AG114" s="360"/>
      <c r="AH114" s="360"/>
      <c r="AI114" s="360"/>
      <c r="AJ114" s="360"/>
      <c r="AK114" s="360"/>
      <c r="AL114" s="360"/>
      <c r="AM114" s="360"/>
      <c r="AN114" s="360"/>
      <c r="AO114" s="360"/>
    </row>
    <row r="115" spans="1:41" s="441" customFormat="1" x14ac:dyDescent="0.2">
      <c r="A115" s="439"/>
      <c r="B115" s="360"/>
      <c r="C115" s="360"/>
      <c r="D115" s="360"/>
      <c r="E115" s="360"/>
      <c r="F115" s="360"/>
      <c r="G115" s="360"/>
      <c r="H115" s="360"/>
      <c r="I115" s="440"/>
      <c r="J115" s="180"/>
      <c r="K115" s="447"/>
      <c r="L115" s="2082"/>
      <c r="N115" s="440"/>
      <c r="O115" s="443"/>
      <c r="P115" s="444"/>
      <c r="Q115" s="442"/>
      <c r="R115" s="442"/>
      <c r="S115" s="442"/>
      <c r="T115" s="453"/>
      <c r="U115" s="446"/>
      <c r="V115" s="442"/>
      <c r="W115" s="360"/>
      <c r="X115" s="360"/>
      <c r="Y115" s="360"/>
      <c r="Z115" s="360"/>
      <c r="AA115" s="360"/>
      <c r="AB115" s="360"/>
      <c r="AC115" s="360"/>
      <c r="AD115" s="360"/>
      <c r="AE115" s="360"/>
      <c r="AF115" s="360"/>
      <c r="AG115" s="360"/>
      <c r="AH115" s="360"/>
      <c r="AI115" s="360"/>
      <c r="AJ115" s="360"/>
      <c r="AK115" s="360"/>
      <c r="AL115" s="360"/>
      <c r="AM115" s="360"/>
      <c r="AN115" s="360"/>
      <c r="AO115" s="360"/>
    </row>
    <row r="116" spans="1:41" s="441" customFormat="1" x14ac:dyDescent="0.2">
      <c r="A116" s="439"/>
      <c r="B116" s="360"/>
      <c r="C116" s="360"/>
      <c r="D116" s="360"/>
      <c r="E116" s="360"/>
      <c r="F116" s="360"/>
      <c r="G116" s="360"/>
      <c r="H116" s="360"/>
      <c r="I116" s="440"/>
      <c r="J116" s="180"/>
      <c r="K116" s="447"/>
      <c r="L116" s="2082"/>
      <c r="N116" s="440"/>
      <c r="O116" s="443"/>
      <c r="P116" s="444"/>
      <c r="Q116" s="442"/>
      <c r="R116" s="442"/>
      <c r="S116" s="442"/>
      <c r="T116" s="453"/>
      <c r="U116" s="446"/>
      <c r="V116" s="442"/>
      <c r="W116" s="360"/>
      <c r="X116" s="360"/>
      <c r="Y116" s="360"/>
      <c r="Z116" s="360"/>
      <c r="AA116" s="360"/>
      <c r="AB116" s="360"/>
      <c r="AC116" s="360"/>
      <c r="AD116" s="360"/>
      <c r="AE116" s="360"/>
      <c r="AF116" s="360"/>
      <c r="AG116" s="360"/>
      <c r="AH116" s="360"/>
      <c r="AI116" s="360"/>
      <c r="AJ116" s="360"/>
      <c r="AK116" s="360"/>
      <c r="AL116" s="360"/>
      <c r="AM116" s="360"/>
      <c r="AN116" s="360"/>
      <c r="AO116" s="360"/>
    </row>
    <row r="117" spans="1:41" s="441" customFormat="1" x14ac:dyDescent="0.2">
      <c r="A117" s="439"/>
      <c r="B117" s="360"/>
      <c r="C117" s="360"/>
      <c r="D117" s="360"/>
      <c r="E117" s="360"/>
      <c r="F117" s="360"/>
      <c r="G117" s="360"/>
      <c r="H117" s="360"/>
      <c r="I117" s="440"/>
      <c r="J117" s="180"/>
      <c r="K117" s="447"/>
      <c r="L117" s="2082"/>
      <c r="N117" s="440"/>
      <c r="O117" s="443"/>
      <c r="P117" s="444"/>
      <c r="Q117" s="442"/>
      <c r="R117" s="442"/>
      <c r="S117" s="442"/>
      <c r="T117" s="453"/>
      <c r="U117" s="446"/>
      <c r="V117" s="442"/>
      <c r="W117" s="360"/>
      <c r="X117" s="360"/>
      <c r="Y117" s="360"/>
      <c r="Z117" s="360"/>
      <c r="AA117" s="360"/>
      <c r="AB117" s="360"/>
      <c r="AC117" s="360"/>
      <c r="AD117" s="360"/>
      <c r="AE117" s="360"/>
      <c r="AF117" s="360"/>
      <c r="AG117" s="360"/>
      <c r="AH117" s="360"/>
      <c r="AI117" s="360"/>
      <c r="AJ117" s="360"/>
      <c r="AK117" s="360"/>
      <c r="AL117" s="360"/>
      <c r="AM117" s="360"/>
      <c r="AN117" s="360"/>
      <c r="AO117" s="360"/>
    </row>
    <row r="118" spans="1:41" s="441" customFormat="1" x14ac:dyDescent="0.2">
      <c r="A118" s="439"/>
      <c r="B118" s="360"/>
      <c r="C118" s="360"/>
      <c r="D118" s="360"/>
      <c r="E118" s="360"/>
      <c r="F118" s="360"/>
      <c r="G118" s="360"/>
      <c r="H118" s="360"/>
      <c r="I118" s="440"/>
      <c r="J118" s="180"/>
      <c r="K118" s="447"/>
      <c r="L118" s="2082"/>
      <c r="N118" s="440"/>
      <c r="O118" s="443"/>
      <c r="P118" s="444"/>
      <c r="Q118" s="442"/>
      <c r="R118" s="442"/>
      <c r="S118" s="442"/>
      <c r="T118" s="453"/>
      <c r="U118" s="446"/>
      <c r="V118" s="442"/>
      <c r="W118" s="360"/>
      <c r="X118" s="360"/>
      <c r="Y118" s="360"/>
      <c r="Z118" s="360"/>
      <c r="AA118" s="360"/>
      <c r="AB118" s="360"/>
      <c r="AC118" s="360"/>
      <c r="AD118" s="360"/>
      <c r="AE118" s="360"/>
      <c r="AF118" s="360"/>
      <c r="AG118" s="360"/>
      <c r="AH118" s="360"/>
      <c r="AI118" s="360"/>
      <c r="AJ118" s="360"/>
      <c r="AK118" s="360"/>
      <c r="AL118" s="360"/>
      <c r="AM118" s="360"/>
      <c r="AN118" s="360"/>
      <c r="AO118" s="360"/>
    </row>
    <row r="119" spans="1:41" s="441" customFormat="1" x14ac:dyDescent="0.2">
      <c r="A119" s="439"/>
      <c r="B119" s="360"/>
      <c r="C119" s="360"/>
      <c r="D119" s="360"/>
      <c r="E119" s="360"/>
      <c r="F119" s="360"/>
      <c r="G119" s="360"/>
      <c r="H119" s="360"/>
      <c r="I119" s="440"/>
      <c r="J119" s="180"/>
      <c r="K119" s="447"/>
      <c r="L119" s="2082"/>
      <c r="N119" s="440"/>
      <c r="O119" s="443"/>
      <c r="P119" s="444"/>
      <c r="Q119" s="442"/>
      <c r="R119" s="442"/>
      <c r="S119" s="442"/>
      <c r="T119" s="453"/>
      <c r="U119" s="446"/>
      <c r="V119" s="442"/>
      <c r="W119" s="360"/>
      <c r="X119" s="360"/>
      <c r="Y119" s="360"/>
      <c r="Z119" s="360"/>
      <c r="AA119" s="360"/>
      <c r="AB119" s="360"/>
      <c r="AC119" s="360"/>
      <c r="AD119" s="360"/>
      <c r="AE119" s="360"/>
      <c r="AF119" s="360"/>
      <c r="AG119" s="360"/>
      <c r="AH119" s="360"/>
      <c r="AI119" s="360"/>
      <c r="AJ119" s="360"/>
      <c r="AK119" s="360"/>
      <c r="AL119" s="360"/>
      <c r="AM119" s="360"/>
      <c r="AN119" s="360"/>
      <c r="AO119" s="360"/>
    </row>
    <row r="120" spans="1:41" s="441" customFormat="1" x14ac:dyDescent="0.2">
      <c r="A120" s="439"/>
      <c r="B120" s="360"/>
      <c r="C120" s="360"/>
      <c r="D120" s="360"/>
      <c r="E120" s="360"/>
      <c r="F120" s="360"/>
      <c r="G120" s="360"/>
      <c r="H120" s="360"/>
      <c r="I120" s="440"/>
      <c r="J120" s="180"/>
      <c r="K120" s="447"/>
      <c r="L120" s="2082"/>
      <c r="N120" s="440"/>
      <c r="O120" s="443"/>
      <c r="P120" s="444"/>
      <c r="Q120" s="442"/>
      <c r="R120" s="442"/>
      <c r="S120" s="442"/>
      <c r="T120" s="453"/>
      <c r="U120" s="446"/>
      <c r="V120" s="442"/>
      <c r="W120" s="360"/>
      <c r="X120" s="360"/>
      <c r="Y120" s="360"/>
      <c r="Z120" s="360"/>
      <c r="AA120" s="360"/>
      <c r="AB120" s="360"/>
      <c r="AC120" s="360"/>
      <c r="AD120" s="360"/>
      <c r="AE120" s="360"/>
      <c r="AF120" s="360"/>
      <c r="AG120" s="360"/>
      <c r="AH120" s="360"/>
      <c r="AI120" s="360"/>
      <c r="AJ120" s="360"/>
      <c r="AK120" s="360"/>
      <c r="AL120" s="360"/>
      <c r="AM120" s="360"/>
      <c r="AN120" s="360"/>
      <c r="AO120" s="360"/>
    </row>
    <row r="121" spans="1:41" s="441" customFormat="1" x14ac:dyDescent="0.2">
      <c r="A121" s="439"/>
      <c r="B121" s="360"/>
      <c r="C121" s="360"/>
      <c r="D121" s="360"/>
      <c r="E121" s="360"/>
      <c r="F121" s="360"/>
      <c r="G121" s="360"/>
      <c r="H121" s="360"/>
      <c r="I121" s="440"/>
      <c r="J121" s="180"/>
      <c r="K121" s="447"/>
      <c r="L121" s="2082"/>
      <c r="N121" s="440"/>
      <c r="O121" s="443"/>
      <c r="P121" s="444"/>
      <c r="Q121" s="442"/>
      <c r="R121" s="442"/>
      <c r="S121" s="442"/>
      <c r="T121" s="453"/>
      <c r="U121" s="446"/>
      <c r="V121" s="442"/>
      <c r="W121" s="360"/>
      <c r="X121" s="360"/>
      <c r="Y121" s="360"/>
      <c r="Z121" s="360"/>
      <c r="AA121" s="360"/>
      <c r="AB121" s="360"/>
      <c r="AC121" s="360"/>
      <c r="AD121" s="360"/>
      <c r="AE121" s="360"/>
      <c r="AF121" s="360"/>
      <c r="AG121" s="360"/>
      <c r="AH121" s="360"/>
      <c r="AI121" s="360"/>
      <c r="AJ121" s="360"/>
      <c r="AK121" s="360"/>
      <c r="AL121" s="360"/>
      <c r="AM121" s="360"/>
      <c r="AN121" s="360"/>
      <c r="AO121" s="360"/>
    </row>
    <row r="122" spans="1:41" s="441" customFormat="1" x14ac:dyDescent="0.2">
      <c r="A122" s="439"/>
      <c r="B122" s="360"/>
      <c r="C122" s="360"/>
      <c r="D122" s="360"/>
      <c r="E122" s="360"/>
      <c r="F122" s="360"/>
      <c r="G122" s="360"/>
      <c r="H122" s="360"/>
      <c r="I122" s="440"/>
      <c r="J122" s="180"/>
      <c r="K122" s="447"/>
      <c r="L122" s="2082"/>
      <c r="N122" s="440"/>
      <c r="O122" s="443"/>
      <c r="P122" s="444"/>
      <c r="Q122" s="442"/>
      <c r="R122" s="442"/>
      <c r="S122" s="442"/>
      <c r="T122" s="453"/>
      <c r="U122" s="446"/>
      <c r="V122" s="442"/>
      <c r="W122" s="360"/>
      <c r="X122" s="360"/>
      <c r="Y122" s="360"/>
      <c r="Z122" s="360"/>
      <c r="AA122" s="360"/>
      <c r="AB122" s="360"/>
      <c r="AC122" s="360"/>
      <c r="AD122" s="360"/>
      <c r="AE122" s="360"/>
      <c r="AF122" s="360"/>
      <c r="AG122" s="360"/>
      <c r="AH122" s="360"/>
      <c r="AI122" s="360"/>
      <c r="AJ122" s="360"/>
      <c r="AK122" s="360"/>
      <c r="AL122" s="360"/>
      <c r="AM122" s="360"/>
      <c r="AN122" s="360"/>
      <c r="AO122" s="360"/>
    </row>
    <row r="123" spans="1:41" s="441" customFormat="1" x14ac:dyDescent="0.2">
      <c r="A123" s="439"/>
      <c r="B123" s="360"/>
      <c r="C123" s="360"/>
      <c r="D123" s="360"/>
      <c r="E123" s="360"/>
      <c r="F123" s="360"/>
      <c r="G123" s="360"/>
      <c r="H123" s="360"/>
      <c r="I123" s="440"/>
      <c r="J123" s="180"/>
      <c r="K123" s="447"/>
      <c r="L123" s="2082"/>
      <c r="N123" s="440"/>
      <c r="O123" s="443"/>
      <c r="P123" s="444"/>
      <c r="Q123" s="442"/>
      <c r="R123" s="442"/>
      <c r="S123" s="442"/>
      <c r="T123" s="453"/>
      <c r="U123" s="446"/>
      <c r="V123" s="442"/>
      <c r="W123" s="360"/>
      <c r="X123" s="360"/>
      <c r="Y123" s="360"/>
      <c r="Z123" s="360"/>
      <c r="AA123" s="360"/>
      <c r="AB123" s="360"/>
      <c r="AC123" s="360"/>
      <c r="AD123" s="360"/>
      <c r="AE123" s="360"/>
      <c r="AF123" s="360"/>
      <c r="AG123" s="360"/>
      <c r="AH123" s="360"/>
      <c r="AI123" s="360"/>
      <c r="AJ123" s="360"/>
      <c r="AK123" s="360"/>
      <c r="AL123" s="360"/>
      <c r="AM123" s="360"/>
      <c r="AN123" s="360"/>
      <c r="AO123" s="360"/>
    </row>
    <row r="124" spans="1:41" s="441" customFormat="1" x14ac:dyDescent="0.2">
      <c r="A124" s="439"/>
      <c r="B124" s="360"/>
      <c r="C124" s="360"/>
      <c r="D124" s="360"/>
      <c r="E124" s="360"/>
      <c r="F124" s="360"/>
      <c r="G124" s="360"/>
      <c r="H124" s="360"/>
      <c r="I124" s="440"/>
      <c r="J124" s="180"/>
      <c r="K124" s="447"/>
      <c r="L124" s="2082"/>
      <c r="N124" s="440"/>
      <c r="O124" s="443"/>
      <c r="P124" s="444"/>
      <c r="Q124" s="442"/>
      <c r="R124" s="442"/>
      <c r="S124" s="442"/>
      <c r="T124" s="453"/>
      <c r="U124" s="446"/>
      <c r="V124" s="442"/>
      <c r="W124" s="360"/>
      <c r="X124" s="360"/>
      <c r="Y124" s="360"/>
      <c r="Z124" s="360"/>
      <c r="AA124" s="360"/>
      <c r="AB124" s="360"/>
      <c r="AC124" s="360"/>
      <c r="AD124" s="360"/>
      <c r="AE124" s="360"/>
      <c r="AF124" s="360"/>
      <c r="AG124" s="360"/>
      <c r="AH124" s="360"/>
      <c r="AI124" s="360"/>
      <c r="AJ124" s="360"/>
      <c r="AK124" s="360"/>
      <c r="AL124" s="360"/>
      <c r="AM124" s="360"/>
      <c r="AN124" s="360"/>
      <c r="AO124" s="360"/>
    </row>
    <row r="125" spans="1:41" s="441" customFormat="1" x14ac:dyDescent="0.2">
      <c r="A125" s="439"/>
      <c r="B125" s="360"/>
      <c r="C125" s="360"/>
      <c r="D125" s="360"/>
      <c r="E125" s="360"/>
      <c r="F125" s="360"/>
      <c r="G125" s="360"/>
      <c r="H125" s="360"/>
      <c r="I125" s="440"/>
      <c r="J125" s="180"/>
      <c r="K125" s="447"/>
      <c r="L125" s="2082"/>
      <c r="N125" s="440"/>
      <c r="O125" s="443"/>
      <c r="P125" s="444"/>
      <c r="Q125" s="442"/>
      <c r="R125" s="442"/>
      <c r="S125" s="442"/>
      <c r="T125" s="453"/>
      <c r="U125" s="446"/>
      <c r="V125" s="442"/>
      <c r="W125" s="360"/>
      <c r="X125" s="360"/>
      <c r="Y125" s="360"/>
      <c r="Z125" s="360"/>
      <c r="AA125" s="360"/>
      <c r="AB125" s="360"/>
      <c r="AC125" s="360"/>
      <c r="AD125" s="360"/>
      <c r="AE125" s="360"/>
      <c r="AF125" s="360"/>
      <c r="AG125" s="360"/>
      <c r="AH125" s="360"/>
      <c r="AI125" s="360"/>
      <c r="AJ125" s="360"/>
      <c r="AK125" s="360"/>
      <c r="AL125" s="360"/>
      <c r="AM125" s="360"/>
      <c r="AN125" s="360"/>
      <c r="AO125" s="360"/>
    </row>
    <row r="126" spans="1:41" s="441" customFormat="1" x14ac:dyDescent="0.2">
      <c r="A126" s="439"/>
      <c r="B126" s="360"/>
      <c r="C126" s="360"/>
      <c r="D126" s="360"/>
      <c r="E126" s="360"/>
      <c r="F126" s="360"/>
      <c r="G126" s="360"/>
      <c r="H126" s="360"/>
      <c r="I126" s="440"/>
      <c r="J126" s="180"/>
      <c r="K126" s="447"/>
      <c r="L126" s="2082"/>
      <c r="N126" s="440"/>
      <c r="O126" s="443"/>
      <c r="P126" s="444"/>
      <c r="Q126" s="442"/>
      <c r="R126" s="442"/>
      <c r="S126" s="442"/>
      <c r="T126" s="453"/>
      <c r="U126" s="446"/>
      <c r="V126" s="442"/>
      <c r="W126" s="360"/>
      <c r="X126" s="360"/>
      <c r="Y126" s="360"/>
      <c r="Z126" s="360"/>
      <c r="AA126" s="360"/>
      <c r="AB126" s="360"/>
      <c r="AC126" s="360"/>
      <c r="AD126" s="360"/>
      <c r="AE126" s="360"/>
      <c r="AF126" s="360"/>
      <c r="AG126" s="360"/>
      <c r="AH126" s="360"/>
      <c r="AI126" s="360"/>
      <c r="AJ126" s="360"/>
      <c r="AK126" s="360"/>
      <c r="AL126" s="360"/>
      <c r="AM126" s="360"/>
      <c r="AN126" s="360"/>
      <c r="AO126" s="360"/>
    </row>
    <row r="127" spans="1:41" s="441" customFormat="1" x14ac:dyDescent="0.2">
      <c r="A127" s="439"/>
      <c r="B127" s="360"/>
      <c r="C127" s="360"/>
      <c r="D127" s="360"/>
      <c r="E127" s="360"/>
      <c r="F127" s="360"/>
      <c r="G127" s="360"/>
      <c r="H127" s="360"/>
      <c r="I127" s="440"/>
      <c r="J127" s="180"/>
      <c r="K127" s="447"/>
      <c r="L127" s="2082"/>
      <c r="N127" s="440"/>
      <c r="O127" s="443"/>
      <c r="P127" s="444"/>
      <c r="Q127" s="442"/>
      <c r="R127" s="442"/>
      <c r="S127" s="442"/>
      <c r="T127" s="453"/>
      <c r="U127" s="446"/>
      <c r="V127" s="442"/>
      <c r="W127" s="360"/>
      <c r="X127" s="360"/>
      <c r="Y127" s="360"/>
      <c r="Z127" s="360"/>
      <c r="AA127" s="360"/>
      <c r="AB127" s="360"/>
      <c r="AC127" s="360"/>
      <c r="AD127" s="360"/>
      <c r="AE127" s="360"/>
      <c r="AF127" s="360"/>
      <c r="AG127" s="360"/>
      <c r="AH127" s="360"/>
      <c r="AI127" s="360"/>
      <c r="AJ127" s="360"/>
      <c r="AK127" s="360"/>
      <c r="AL127" s="360"/>
      <c r="AM127" s="360"/>
      <c r="AN127" s="360"/>
      <c r="AO127" s="360"/>
    </row>
    <row r="128" spans="1:41" s="441" customFormat="1" x14ac:dyDescent="0.2">
      <c r="A128" s="439"/>
      <c r="B128" s="360"/>
      <c r="C128" s="360"/>
      <c r="D128" s="360"/>
      <c r="E128" s="360"/>
      <c r="F128" s="360"/>
      <c r="G128" s="360"/>
      <c r="H128" s="360"/>
      <c r="I128" s="440"/>
      <c r="J128" s="180"/>
      <c r="K128" s="447"/>
      <c r="L128" s="2082"/>
      <c r="N128" s="440"/>
      <c r="O128" s="443"/>
      <c r="P128" s="444"/>
      <c r="Q128" s="442"/>
      <c r="R128" s="442"/>
      <c r="S128" s="442"/>
      <c r="T128" s="453"/>
      <c r="U128" s="446"/>
      <c r="V128" s="442"/>
      <c r="W128" s="360"/>
      <c r="X128" s="360"/>
      <c r="Y128" s="360"/>
      <c r="Z128" s="360"/>
      <c r="AA128" s="360"/>
      <c r="AB128" s="360"/>
      <c r="AC128" s="360"/>
      <c r="AD128" s="360"/>
      <c r="AE128" s="360"/>
      <c r="AF128" s="360"/>
      <c r="AG128" s="360"/>
      <c r="AH128" s="360"/>
      <c r="AI128" s="360"/>
      <c r="AJ128" s="360"/>
      <c r="AK128" s="360"/>
      <c r="AL128" s="360"/>
      <c r="AM128" s="360"/>
      <c r="AN128" s="360"/>
      <c r="AO128" s="360"/>
    </row>
    <row r="129" spans="1:41" s="441" customFormat="1" x14ac:dyDescent="0.2">
      <c r="A129" s="439"/>
      <c r="B129" s="360"/>
      <c r="C129" s="360"/>
      <c r="D129" s="360"/>
      <c r="E129" s="360"/>
      <c r="F129" s="360"/>
      <c r="G129" s="360"/>
      <c r="H129" s="360"/>
      <c r="I129" s="440"/>
      <c r="J129" s="180"/>
      <c r="K129" s="447"/>
      <c r="L129" s="2082"/>
      <c r="N129" s="440"/>
      <c r="O129" s="443"/>
      <c r="P129" s="444"/>
      <c r="Q129" s="442"/>
      <c r="R129" s="442"/>
      <c r="S129" s="442"/>
      <c r="T129" s="453"/>
      <c r="U129" s="446"/>
      <c r="V129" s="442"/>
      <c r="W129" s="360"/>
      <c r="X129" s="360"/>
      <c r="Y129" s="360"/>
      <c r="Z129" s="360"/>
      <c r="AA129" s="360"/>
      <c r="AB129" s="360"/>
      <c r="AC129" s="360"/>
      <c r="AD129" s="360"/>
      <c r="AE129" s="360"/>
      <c r="AF129" s="360"/>
      <c r="AG129" s="360"/>
      <c r="AH129" s="360"/>
      <c r="AI129" s="360"/>
      <c r="AJ129" s="360"/>
      <c r="AK129" s="360"/>
      <c r="AL129" s="360"/>
      <c r="AM129" s="360"/>
      <c r="AN129" s="360"/>
      <c r="AO129" s="360"/>
    </row>
    <row r="130" spans="1:41" s="441" customFormat="1" x14ac:dyDescent="0.2">
      <c r="A130" s="439"/>
      <c r="B130" s="360"/>
      <c r="C130" s="360"/>
      <c r="D130" s="360"/>
      <c r="E130" s="360"/>
      <c r="F130" s="360"/>
      <c r="G130" s="360"/>
      <c r="H130" s="360"/>
      <c r="I130" s="440"/>
      <c r="J130" s="180"/>
      <c r="K130" s="447"/>
      <c r="L130" s="2082"/>
      <c r="N130" s="440"/>
      <c r="O130" s="443"/>
      <c r="P130" s="444"/>
      <c r="Q130" s="442"/>
      <c r="R130" s="442"/>
      <c r="S130" s="442"/>
      <c r="T130" s="453"/>
      <c r="U130" s="446"/>
      <c r="V130" s="442"/>
      <c r="W130" s="360"/>
      <c r="X130" s="360"/>
      <c r="Y130" s="360"/>
      <c r="Z130" s="360"/>
      <c r="AA130" s="360"/>
      <c r="AB130" s="360"/>
      <c r="AC130" s="360"/>
      <c r="AD130" s="360"/>
      <c r="AE130" s="360"/>
      <c r="AF130" s="360"/>
      <c r="AG130" s="360"/>
      <c r="AH130" s="360"/>
      <c r="AI130" s="360"/>
      <c r="AJ130" s="360"/>
      <c r="AK130" s="360"/>
      <c r="AL130" s="360"/>
      <c r="AM130" s="360"/>
      <c r="AN130" s="360"/>
      <c r="AO130" s="360"/>
    </row>
    <row r="131" spans="1:41" s="441" customFormat="1" x14ac:dyDescent="0.2">
      <c r="A131" s="439"/>
      <c r="B131" s="360"/>
      <c r="C131" s="360"/>
      <c r="D131" s="360"/>
      <c r="E131" s="360"/>
      <c r="F131" s="360"/>
      <c r="G131" s="360"/>
      <c r="H131" s="360"/>
      <c r="I131" s="440"/>
      <c r="J131" s="180"/>
      <c r="K131" s="447"/>
      <c r="L131" s="2082"/>
      <c r="N131" s="440"/>
      <c r="O131" s="443"/>
      <c r="P131" s="444"/>
      <c r="Q131" s="442"/>
      <c r="R131" s="442"/>
      <c r="S131" s="442"/>
      <c r="T131" s="453"/>
      <c r="U131" s="446"/>
      <c r="V131" s="442"/>
      <c r="W131" s="360"/>
      <c r="X131" s="360"/>
      <c r="Y131" s="360"/>
      <c r="Z131" s="360"/>
      <c r="AA131" s="360"/>
      <c r="AB131" s="360"/>
      <c r="AC131" s="360"/>
      <c r="AD131" s="360"/>
      <c r="AE131" s="360"/>
      <c r="AF131" s="360"/>
      <c r="AG131" s="360"/>
      <c r="AH131" s="360"/>
      <c r="AI131" s="360"/>
      <c r="AJ131" s="360"/>
      <c r="AK131" s="360"/>
      <c r="AL131" s="360"/>
      <c r="AM131" s="360"/>
      <c r="AN131" s="360"/>
      <c r="AO131" s="360"/>
    </row>
    <row r="132" spans="1:41" s="441" customFormat="1" x14ac:dyDescent="0.2">
      <c r="A132" s="439"/>
      <c r="B132" s="360"/>
      <c r="C132" s="360"/>
      <c r="D132" s="360"/>
      <c r="E132" s="360"/>
      <c r="F132" s="360"/>
      <c r="G132" s="360"/>
      <c r="H132" s="360"/>
      <c r="I132" s="440"/>
      <c r="J132" s="180"/>
      <c r="K132" s="447"/>
      <c r="L132" s="2082"/>
      <c r="N132" s="440"/>
      <c r="O132" s="443"/>
      <c r="P132" s="444"/>
      <c r="Q132" s="442"/>
      <c r="R132" s="442"/>
      <c r="S132" s="442"/>
      <c r="T132" s="453"/>
      <c r="U132" s="446"/>
      <c r="V132" s="442"/>
      <c r="W132" s="360"/>
      <c r="X132" s="360"/>
      <c r="Y132" s="360"/>
      <c r="Z132" s="360"/>
      <c r="AA132" s="360"/>
      <c r="AB132" s="360"/>
      <c r="AC132" s="360"/>
      <c r="AD132" s="360"/>
      <c r="AE132" s="360"/>
      <c r="AF132" s="360"/>
      <c r="AG132" s="360"/>
      <c r="AH132" s="360"/>
      <c r="AI132" s="360"/>
      <c r="AJ132" s="360"/>
      <c r="AK132" s="360"/>
      <c r="AL132" s="360"/>
      <c r="AM132" s="360"/>
      <c r="AN132" s="360"/>
      <c r="AO132" s="360"/>
    </row>
    <row r="133" spans="1:41" s="441" customFormat="1" x14ac:dyDescent="0.2">
      <c r="A133" s="439"/>
      <c r="B133" s="360"/>
      <c r="C133" s="360"/>
      <c r="D133" s="360"/>
      <c r="E133" s="360"/>
      <c r="F133" s="360"/>
      <c r="G133" s="360"/>
      <c r="H133" s="360"/>
      <c r="I133" s="440"/>
      <c r="J133" s="180"/>
      <c r="K133" s="447"/>
      <c r="L133" s="2082"/>
      <c r="N133" s="440"/>
      <c r="O133" s="443"/>
      <c r="P133" s="444"/>
      <c r="Q133" s="442"/>
      <c r="R133" s="442"/>
      <c r="S133" s="442"/>
      <c r="T133" s="453"/>
      <c r="U133" s="446"/>
      <c r="V133" s="442"/>
      <c r="W133" s="360"/>
      <c r="X133" s="360"/>
      <c r="Y133" s="360"/>
      <c r="Z133" s="360"/>
      <c r="AA133" s="360"/>
      <c r="AB133" s="360"/>
      <c r="AC133" s="360"/>
      <c r="AD133" s="360"/>
      <c r="AE133" s="360"/>
      <c r="AF133" s="360"/>
      <c r="AG133" s="360"/>
      <c r="AH133" s="360"/>
      <c r="AI133" s="360"/>
      <c r="AJ133" s="360"/>
      <c r="AK133" s="360"/>
      <c r="AL133" s="360"/>
      <c r="AM133" s="360"/>
      <c r="AN133" s="360"/>
      <c r="AO133" s="360"/>
    </row>
    <row r="134" spans="1:41" s="441" customFormat="1" x14ac:dyDescent="0.2">
      <c r="A134" s="439"/>
      <c r="B134" s="360"/>
      <c r="C134" s="360"/>
      <c r="D134" s="360"/>
      <c r="E134" s="360"/>
      <c r="F134" s="360"/>
      <c r="G134" s="360"/>
      <c r="H134" s="360"/>
      <c r="I134" s="440"/>
      <c r="J134" s="180"/>
      <c r="K134" s="447"/>
      <c r="L134" s="2082"/>
      <c r="N134" s="440"/>
      <c r="O134" s="443"/>
      <c r="P134" s="444"/>
      <c r="Q134" s="442"/>
      <c r="R134" s="442"/>
      <c r="S134" s="442"/>
      <c r="T134" s="453"/>
      <c r="U134" s="446"/>
      <c r="V134" s="442"/>
      <c r="W134" s="360"/>
      <c r="X134" s="360"/>
      <c r="Y134" s="360"/>
      <c r="Z134" s="360"/>
      <c r="AA134" s="360"/>
      <c r="AB134" s="360"/>
      <c r="AC134" s="360"/>
      <c r="AD134" s="360"/>
      <c r="AE134" s="360"/>
      <c r="AF134" s="360"/>
      <c r="AG134" s="360"/>
      <c r="AH134" s="360"/>
      <c r="AI134" s="360"/>
      <c r="AJ134" s="360"/>
      <c r="AK134" s="360"/>
      <c r="AL134" s="360"/>
      <c r="AM134" s="360"/>
      <c r="AN134" s="360"/>
      <c r="AO134" s="360"/>
    </row>
    <row r="135" spans="1:41" s="441" customFormat="1" x14ac:dyDescent="0.2">
      <c r="A135" s="439"/>
      <c r="B135" s="360"/>
      <c r="C135" s="360"/>
      <c r="D135" s="360"/>
      <c r="E135" s="360"/>
      <c r="F135" s="360"/>
      <c r="G135" s="360"/>
      <c r="H135" s="360"/>
      <c r="I135" s="440"/>
      <c r="J135" s="180"/>
      <c r="K135" s="447"/>
      <c r="L135" s="2082"/>
      <c r="N135" s="440"/>
      <c r="O135" s="443"/>
      <c r="P135" s="444"/>
      <c r="Q135" s="442"/>
      <c r="R135" s="442"/>
      <c r="S135" s="442"/>
      <c r="T135" s="453"/>
      <c r="U135" s="446"/>
      <c r="V135" s="442"/>
      <c r="W135" s="360"/>
      <c r="X135" s="360"/>
      <c r="Y135" s="360"/>
      <c r="Z135" s="360"/>
      <c r="AA135" s="360"/>
      <c r="AB135" s="360"/>
      <c r="AC135" s="360"/>
      <c r="AD135" s="360"/>
      <c r="AE135" s="360"/>
      <c r="AF135" s="360"/>
      <c r="AG135" s="360"/>
      <c r="AH135" s="360"/>
      <c r="AI135" s="360"/>
      <c r="AJ135" s="360"/>
      <c r="AK135" s="360"/>
      <c r="AL135" s="360"/>
      <c r="AM135" s="360"/>
      <c r="AN135" s="360"/>
      <c r="AO135" s="360"/>
    </row>
    <row r="136" spans="1:41" s="441" customFormat="1" x14ac:dyDescent="0.2">
      <c r="A136" s="439"/>
      <c r="B136" s="360"/>
      <c r="C136" s="360"/>
      <c r="D136" s="360"/>
      <c r="E136" s="360"/>
      <c r="F136" s="360"/>
      <c r="G136" s="360"/>
      <c r="H136" s="360"/>
      <c r="I136" s="440"/>
      <c r="J136" s="180"/>
      <c r="K136" s="447"/>
      <c r="L136" s="2082"/>
      <c r="N136" s="440"/>
      <c r="O136" s="443"/>
      <c r="P136" s="444"/>
      <c r="Q136" s="442"/>
      <c r="R136" s="442"/>
      <c r="S136" s="442"/>
      <c r="T136" s="453"/>
      <c r="U136" s="446"/>
      <c r="V136" s="442"/>
      <c r="W136" s="360"/>
      <c r="X136" s="360"/>
      <c r="Y136" s="360"/>
      <c r="Z136" s="360"/>
      <c r="AA136" s="360"/>
      <c r="AB136" s="360"/>
      <c r="AC136" s="360"/>
      <c r="AD136" s="360"/>
      <c r="AE136" s="360"/>
      <c r="AF136" s="360"/>
      <c r="AG136" s="360"/>
      <c r="AH136" s="360"/>
      <c r="AI136" s="360"/>
      <c r="AJ136" s="360"/>
      <c r="AK136" s="360"/>
      <c r="AL136" s="360"/>
      <c r="AM136" s="360"/>
      <c r="AN136" s="360"/>
      <c r="AO136" s="360"/>
    </row>
    <row r="137" spans="1:41" s="441" customFormat="1" x14ac:dyDescent="0.2">
      <c r="A137" s="439"/>
      <c r="B137" s="360"/>
      <c r="C137" s="360"/>
      <c r="D137" s="360"/>
      <c r="E137" s="360"/>
      <c r="F137" s="360"/>
      <c r="G137" s="360"/>
      <c r="H137" s="360"/>
      <c r="I137" s="440"/>
      <c r="J137" s="180"/>
      <c r="K137" s="447"/>
      <c r="L137" s="2082"/>
      <c r="N137" s="440"/>
      <c r="O137" s="443"/>
      <c r="P137" s="444"/>
      <c r="Q137" s="442"/>
      <c r="R137" s="442"/>
      <c r="S137" s="442"/>
      <c r="T137" s="453"/>
      <c r="U137" s="446"/>
      <c r="V137" s="442"/>
      <c r="W137" s="360"/>
      <c r="X137" s="360"/>
      <c r="Y137" s="360"/>
      <c r="Z137" s="360"/>
      <c r="AA137" s="360"/>
      <c r="AB137" s="360"/>
      <c r="AC137" s="360"/>
      <c r="AD137" s="360"/>
      <c r="AE137" s="360"/>
      <c r="AF137" s="360"/>
      <c r="AG137" s="360"/>
      <c r="AH137" s="360"/>
      <c r="AI137" s="360"/>
      <c r="AJ137" s="360"/>
      <c r="AK137" s="360"/>
      <c r="AL137" s="360"/>
      <c r="AM137" s="360"/>
      <c r="AN137" s="360"/>
      <c r="AO137" s="360"/>
    </row>
    <row r="138" spans="1:41" s="441" customFormat="1" x14ac:dyDescent="0.2">
      <c r="A138" s="439"/>
      <c r="B138" s="360"/>
      <c r="C138" s="360"/>
      <c r="D138" s="360"/>
      <c r="E138" s="360"/>
      <c r="F138" s="360"/>
      <c r="G138" s="360"/>
      <c r="H138" s="360"/>
      <c r="I138" s="440"/>
      <c r="J138" s="180"/>
      <c r="K138" s="447"/>
      <c r="L138" s="2082"/>
      <c r="N138" s="440"/>
      <c r="O138" s="443"/>
      <c r="P138" s="444"/>
      <c r="Q138" s="442"/>
      <c r="R138" s="442"/>
      <c r="S138" s="442"/>
      <c r="T138" s="453"/>
      <c r="U138" s="446"/>
      <c r="V138" s="442"/>
      <c r="W138" s="360"/>
      <c r="X138" s="360"/>
      <c r="Y138" s="360"/>
      <c r="Z138" s="360"/>
      <c r="AA138" s="360"/>
      <c r="AB138" s="360"/>
      <c r="AC138" s="360"/>
      <c r="AD138" s="360"/>
      <c r="AE138" s="360"/>
      <c r="AF138" s="360"/>
      <c r="AG138" s="360"/>
      <c r="AH138" s="360"/>
      <c r="AI138" s="360"/>
      <c r="AJ138" s="360"/>
      <c r="AK138" s="360"/>
      <c r="AL138" s="360"/>
      <c r="AM138" s="360"/>
      <c r="AN138" s="360"/>
      <c r="AO138" s="360"/>
    </row>
    <row r="139" spans="1:41" s="441" customFormat="1" x14ac:dyDescent="0.2">
      <c r="A139" s="439"/>
      <c r="B139" s="360"/>
      <c r="C139" s="360"/>
      <c r="D139" s="360"/>
      <c r="E139" s="360"/>
      <c r="F139" s="360"/>
      <c r="G139" s="360"/>
      <c r="H139" s="360"/>
      <c r="I139" s="440"/>
      <c r="J139" s="180"/>
      <c r="K139" s="447"/>
      <c r="L139" s="2082"/>
      <c r="N139" s="440"/>
      <c r="O139" s="443"/>
      <c r="P139" s="444"/>
      <c r="Q139" s="442"/>
      <c r="R139" s="442"/>
      <c r="S139" s="442"/>
      <c r="T139" s="453"/>
      <c r="U139" s="446"/>
      <c r="V139" s="442"/>
      <c r="W139" s="360"/>
      <c r="X139" s="360"/>
      <c r="Y139" s="360"/>
      <c r="Z139" s="360"/>
      <c r="AA139" s="360"/>
      <c r="AB139" s="360"/>
      <c r="AC139" s="360"/>
      <c r="AD139" s="360"/>
      <c r="AE139" s="360"/>
      <c r="AF139" s="360"/>
      <c r="AG139" s="360"/>
      <c r="AH139" s="360"/>
      <c r="AI139" s="360"/>
      <c r="AJ139" s="360"/>
      <c r="AK139" s="360"/>
      <c r="AL139" s="360"/>
      <c r="AM139" s="360"/>
      <c r="AN139" s="360"/>
      <c r="AO139" s="360"/>
    </row>
    <row r="140" spans="1:41" s="441" customFormat="1" x14ac:dyDescent="0.2">
      <c r="A140" s="439"/>
      <c r="B140" s="360"/>
      <c r="C140" s="360"/>
      <c r="D140" s="360"/>
      <c r="E140" s="360"/>
      <c r="F140" s="360"/>
      <c r="G140" s="360"/>
      <c r="H140" s="360"/>
      <c r="I140" s="440"/>
      <c r="J140" s="180"/>
      <c r="K140" s="447"/>
      <c r="L140" s="2082"/>
      <c r="N140" s="440"/>
      <c r="O140" s="443"/>
      <c r="P140" s="444"/>
      <c r="Q140" s="442"/>
      <c r="R140" s="442"/>
      <c r="S140" s="442"/>
      <c r="T140" s="453"/>
      <c r="U140" s="446"/>
      <c r="V140" s="442"/>
      <c r="W140" s="360"/>
      <c r="X140" s="360"/>
      <c r="Y140" s="360"/>
      <c r="Z140" s="360"/>
      <c r="AA140" s="360"/>
      <c r="AB140" s="360"/>
      <c r="AC140" s="360"/>
      <c r="AD140" s="360"/>
      <c r="AE140" s="360"/>
      <c r="AF140" s="360"/>
      <c r="AG140" s="360"/>
      <c r="AH140" s="360"/>
      <c r="AI140" s="360"/>
      <c r="AJ140" s="360"/>
      <c r="AK140" s="360"/>
      <c r="AL140" s="360"/>
      <c r="AM140" s="360"/>
      <c r="AN140" s="360"/>
      <c r="AO140" s="360"/>
    </row>
    <row r="141" spans="1:41" s="441" customFormat="1" x14ac:dyDescent="0.2">
      <c r="A141" s="439"/>
      <c r="B141" s="360"/>
      <c r="C141" s="360"/>
      <c r="D141" s="360"/>
      <c r="E141" s="360"/>
      <c r="F141" s="360"/>
      <c r="G141" s="360"/>
      <c r="H141" s="360"/>
      <c r="I141" s="440"/>
      <c r="J141" s="180"/>
      <c r="K141" s="447"/>
      <c r="L141" s="2082"/>
      <c r="N141" s="440"/>
      <c r="O141" s="443"/>
      <c r="P141" s="444"/>
      <c r="Q141" s="442"/>
      <c r="R141" s="442"/>
      <c r="S141" s="442"/>
      <c r="T141" s="453"/>
      <c r="U141" s="446"/>
      <c r="V141" s="442"/>
      <c r="W141" s="360"/>
      <c r="X141" s="360"/>
      <c r="Y141" s="360"/>
      <c r="Z141" s="360"/>
      <c r="AA141" s="360"/>
      <c r="AB141" s="360"/>
      <c r="AC141" s="360"/>
      <c r="AD141" s="360"/>
      <c r="AE141" s="360"/>
      <c r="AF141" s="360"/>
      <c r="AG141" s="360"/>
      <c r="AH141" s="360"/>
      <c r="AI141" s="360"/>
      <c r="AJ141" s="360"/>
      <c r="AK141" s="360"/>
      <c r="AL141" s="360"/>
      <c r="AM141" s="360"/>
      <c r="AN141" s="360"/>
      <c r="AO141" s="360"/>
    </row>
    <row r="142" spans="1:41" s="441" customFormat="1" x14ac:dyDescent="0.2">
      <c r="A142" s="439"/>
      <c r="B142" s="360"/>
      <c r="C142" s="360"/>
      <c r="D142" s="360"/>
      <c r="E142" s="360"/>
      <c r="F142" s="360"/>
      <c r="G142" s="360"/>
      <c r="H142" s="360"/>
      <c r="I142" s="440"/>
      <c r="J142" s="180"/>
      <c r="K142" s="447"/>
      <c r="L142" s="2082"/>
      <c r="N142" s="440"/>
      <c r="O142" s="443"/>
      <c r="P142" s="444"/>
      <c r="Q142" s="442"/>
      <c r="R142" s="442"/>
      <c r="S142" s="442"/>
      <c r="T142" s="453"/>
      <c r="U142" s="446"/>
      <c r="V142" s="442"/>
      <c r="W142" s="360"/>
      <c r="X142" s="360"/>
      <c r="Y142" s="360"/>
      <c r="Z142" s="360"/>
      <c r="AA142" s="360"/>
      <c r="AB142" s="360"/>
      <c r="AC142" s="360"/>
      <c r="AD142" s="360"/>
      <c r="AE142" s="360"/>
      <c r="AF142" s="360"/>
      <c r="AG142" s="360"/>
      <c r="AH142" s="360"/>
      <c r="AI142" s="360"/>
      <c r="AJ142" s="360"/>
      <c r="AK142" s="360"/>
      <c r="AL142" s="360"/>
      <c r="AM142" s="360"/>
      <c r="AN142" s="360"/>
      <c r="AO142" s="360"/>
    </row>
    <row r="143" spans="1:41" s="441" customFormat="1" x14ac:dyDescent="0.2">
      <c r="A143" s="439"/>
      <c r="B143" s="360"/>
      <c r="C143" s="360"/>
      <c r="D143" s="360"/>
      <c r="E143" s="360"/>
      <c r="F143" s="360"/>
      <c r="G143" s="360"/>
      <c r="H143" s="360"/>
      <c r="I143" s="440"/>
      <c r="J143" s="180"/>
      <c r="K143" s="447"/>
      <c r="L143" s="2082"/>
      <c r="N143" s="440"/>
      <c r="O143" s="443"/>
      <c r="P143" s="444"/>
      <c r="Q143" s="442"/>
      <c r="R143" s="442"/>
      <c r="S143" s="442"/>
      <c r="T143" s="453"/>
      <c r="U143" s="446"/>
      <c r="V143" s="442"/>
      <c r="W143" s="360"/>
      <c r="X143" s="360"/>
      <c r="Y143" s="360"/>
      <c r="Z143" s="360"/>
      <c r="AA143" s="360"/>
      <c r="AB143" s="360"/>
      <c r="AC143" s="360"/>
      <c r="AD143" s="360"/>
      <c r="AE143" s="360"/>
      <c r="AF143" s="360"/>
      <c r="AG143" s="360"/>
      <c r="AH143" s="360"/>
      <c r="AI143" s="360"/>
      <c r="AJ143" s="360"/>
      <c r="AK143" s="360"/>
      <c r="AL143" s="360"/>
      <c r="AM143" s="360"/>
      <c r="AN143" s="360"/>
      <c r="AO143" s="360"/>
    </row>
    <row r="144" spans="1:41" s="441" customFormat="1" x14ac:dyDescent="0.2">
      <c r="A144" s="439"/>
      <c r="B144" s="360"/>
      <c r="C144" s="360"/>
      <c r="D144" s="360"/>
      <c r="E144" s="360"/>
      <c r="F144" s="360"/>
      <c r="G144" s="360"/>
      <c r="H144" s="360"/>
      <c r="I144" s="440"/>
      <c r="J144" s="180"/>
      <c r="K144" s="447"/>
      <c r="L144" s="2082"/>
      <c r="N144" s="440"/>
      <c r="O144" s="443"/>
      <c r="P144" s="444"/>
      <c r="Q144" s="442"/>
      <c r="R144" s="442"/>
      <c r="S144" s="442"/>
      <c r="T144" s="453"/>
      <c r="U144" s="446"/>
      <c r="V144" s="442"/>
      <c r="W144" s="360"/>
      <c r="X144" s="360"/>
      <c r="Y144" s="360"/>
      <c r="Z144" s="360"/>
      <c r="AA144" s="360"/>
      <c r="AB144" s="360"/>
      <c r="AC144" s="360"/>
      <c r="AD144" s="360"/>
      <c r="AE144" s="360"/>
      <c r="AF144" s="360"/>
      <c r="AG144" s="360"/>
      <c r="AH144" s="360"/>
      <c r="AI144" s="360"/>
      <c r="AJ144" s="360"/>
      <c r="AK144" s="360"/>
      <c r="AL144" s="360"/>
      <c r="AM144" s="360"/>
      <c r="AN144" s="360"/>
      <c r="AO144" s="360"/>
    </row>
    <row r="145" spans="1:41" s="441" customFormat="1" x14ac:dyDescent="0.2">
      <c r="A145" s="439"/>
      <c r="B145" s="360"/>
      <c r="C145" s="360"/>
      <c r="D145" s="360"/>
      <c r="E145" s="360"/>
      <c r="F145" s="360"/>
      <c r="G145" s="360"/>
      <c r="H145" s="360"/>
      <c r="I145" s="440"/>
      <c r="J145" s="180"/>
      <c r="K145" s="447"/>
      <c r="L145" s="2082"/>
      <c r="N145" s="440"/>
      <c r="O145" s="443"/>
      <c r="P145" s="444"/>
      <c r="Q145" s="442"/>
      <c r="R145" s="442"/>
      <c r="S145" s="442"/>
      <c r="T145" s="453"/>
      <c r="U145" s="446"/>
      <c r="V145" s="442"/>
      <c r="W145" s="360"/>
      <c r="X145" s="360"/>
      <c r="Y145" s="360"/>
      <c r="Z145" s="360"/>
      <c r="AA145" s="360"/>
      <c r="AB145" s="360"/>
      <c r="AC145" s="360"/>
      <c r="AD145" s="360"/>
      <c r="AE145" s="360"/>
      <c r="AF145" s="360"/>
      <c r="AG145" s="360"/>
      <c r="AH145" s="360"/>
      <c r="AI145" s="360"/>
      <c r="AJ145" s="360"/>
      <c r="AK145" s="360"/>
      <c r="AL145" s="360"/>
      <c r="AM145" s="360"/>
      <c r="AN145" s="360"/>
      <c r="AO145" s="360"/>
    </row>
    <row r="146" spans="1:41" s="441" customFormat="1" x14ac:dyDescent="0.2">
      <c r="A146" s="439"/>
      <c r="B146" s="360"/>
      <c r="C146" s="360"/>
      <c r="D146" s="360"/>
      <c r="E146" s="360"/>
      <c r="F146" s="360"/>
      <c r="G146" s="360"/>
      <c r="H146" s="360"/>
      <c r="I146" s="440"/>
      <c r="J146" s="180"/>
      <c r="K146" s="447"/>
      <c r="L146" s="2082"/>
      <c r="N146" s="440"/>
      <c r="O146" s="443"/>
      <c r="P146" s="444"/>
      <c r="Q146" s="442"/>
      <c r="R146" s="442"/>
      <c r="S146" s="442"/>
      <c r="T146" s="453"/>
      <c r="U146" s="446"/>
      <c r="V146" s="442"/>
      <c r="W146" s="360"/>
      <c r="X146" s="360"/>
      <c r="Y146" s="360"/>
      <c r="Z146" s="360"/>
      <c r="AA146" s="360"/>
      <c r="AB146" s="360"/>
      <c r="AC146" s="360"/>
      <c r="AD146" s="360"/>
      <c r="AE146" s="360"/>
      <c r="AF146" s="360"/>
      <c r="AG146" s="360"/>
      <c r="AH146" s="360"/>
      <c r="AI146" s="360"/>
      <c r="AJ146" s="360"/>
      <c r="AK146" s="360"/>
      <c r="AL146" s="360"/>
      <c r="AM146" s="360"/>
      <c r="AN146" s="360"/>
      <c r="AO146" s="360"/>
    </row>
    <row r="147" spans="1:41" s="441" customFormat="1" x14ac:dyDescent="0.2">
      <c r="A147" s="439"/>
      <c r="B147" s="360"/>
      <c r="C147" s="360"/>
      <c r="D147" s="360"/>
      <c r="E147" s="360"/>
      <c r="F147" s="360"/>
      <c r="G147" s="360"/>
      <c r="H147" s="360"/>
      <c r="I147" s="440"/>
      <c r="J147" s="180"/>
      <c r="K147" s="447"/>
      <c r="L147" s="2082"/>
      <c r="N147" s="440"/>
      <c r="O147" s="443"/>
      <c r="P147" s="444"/>
      <c r="Q147" s="442"/>
      <c r="R147" s="442"/>
      <c r="S147" s="442"/>
      <c r="T147" s="453"/>
      <c r="U147" s="446"/>
      <c r="V147" s="442"/>
      <c r="W147" s="360"/>
      <c r="X147" s="360"/>
      <c r="Y147" s="360"/>
      <c r="Z147" s="360"/>
      <c r="AA147" s="360"/>
      <c r="AB147" s="360"/>
      <c r="AC147" s="360"/>
      <c r="AD147" s="360"/>
      <c r="AE147" s="360"/>
      <c r="AF147" s="360"/>
      <c r="AG147" s="360"/>
      <c r="AH147" s="360"/>
      <c r="AI147" s="360"/>
      <c r="AJ147" s="360"/>
      <c r="AK147" s="360"/>
      <c r="AL147" s="360"/>
      <c r="AM147" s="360"/>
      <c r="AN147" s="360"/>
      <c r="AO147" s="360"/>
    </row>
    <row r="148" spans="1:41" s="441" customFormat="1" x14ac:dyDescent="0.2">
      <c r="A148" s="439"/>
      <c r="B148" s="360"/>
      <c r="C148" s="360"/>
      <c r="D148" s="360"/>
      <c r="E148" s="360"/>
      <c r="F148" s="360"/>
      <c r="G148" s="360"/>
      <c r="H148" s="360"/>
      <c r="I148" s="440"/>
      <c r="J148" s="180"/>
      <c r="K148" s="447"/>
      <c r="L148" s="2082"/>
      <c r="N148" s="440"/>
      <c r="O148" s="443"/>
      <c r="P148" s="444"/>
      <c r="Q148" s="442"/>
      <c r="R148" s="442"/>
      <c r="S148" s="442"/>
      <c r="T148" s="453"/>
      <c r="U148" s="446"/>
      <c r="V148" s="442"/>
      <c r="W148" s="360"/>
      <c r="X148" s="360"/>
      <c r="Y148" s="360"/>
      <c r="Z148" s="360"/>
      <c r="AA148" s="360"/>
      <c r="AB148" s="360"/>
      <c r="AC148" s="360"/>
      <c r="AD148" s="360"/>
      <c r="AE148" s="360"/>
      <c r="AF148" s="360"/>
      <c r="AG148" s="360"/>
      <c r="AH148" s="360"/>
      <c r="AI148" s="360"/>
      <c r="AJ148" s="360"/>
      <c r="AK148" s="360"/>
      <c r="AL148" s="360"/>
      <c r="AM148" s="360"/>
      <c r="AN148" s="360"/>
      <c r="AO148" s="360"/>
    </row>
    <row r="149" spans="1:41" s="441" customFormat="1" x14ac:dyDescent="0.2">
      <c r="A149" s="439"/>
      <c r="B149" s="360"/>
      <c r="C149" s="360"/>
      <c r="D149" s="360"/>
      <c r="E149" s="360"/>
      <c r="F149" s="360"/>
      <c r="G149" s="360"/>
      <c r="H149" s="360"/>
      <c r="I149" s="440"/>
      <c r="J149" s="180"/>
      <c r="K149" s="447"/>
      <c r="L149" s="2082"/>
      <c r="N149" s="440"/>
      <c r="O149" s="443"/>
      <c r="P149" s="444"/>
      <c r="Q149" s="442"/>
      <c r="R149" s="442"/>
      <c r="S149" s="442"/>
      <c r="T149" s="453"/>
      <c r="U149" s="446"/>
      <c r="V149" s="442"/>
      <c r="W149" s="360"/>
      <c r="X149" s="360"/>
      <c r="Y149" s="360"/>
      <c r="Z149" s="360"/>
      <c r="AA149" s="360"/>
      <c r="AB149" s="360"/>
      <c r="AC149" s="360"/>
      <c r="AD149" s="360"/>
      <c r="AE149" s="360"/>
      <c r="AF149" s="360"/>
      <c r="AG149" s="360"/>
      <c r="AH149" s="360"/>
      <c r="AI149" s="360"/>
      <c r="AJ149" s="360"/>
      <c r="AK149" s="360"/>
      <c r="AL149" s="360"/>
      <c r="AM149" s="360"/>
      <c r="AN149" s="360"/>
      <c r="AO149" s="360"/>
    </row>
    <row r="150" spans="1:41" s="441" customFormat="1" x14ac:dyDescent="0.2">
      <c r="A150" s="439"/>
      <c r="B150" s="360"/>
      <c r="C150" s="360"/>
      <c r="D150" s="360"/>
      <c r="E150" s="360"/>
      <c r="F150" s="360"/>
      <c r="G150" s="360"/>
      <c r="H150" s="360"/>
      <c r="I150" s="440"/>
      <c r="J150" s="180"/>
      <c r="K150" s="447"/>
      <c r="L150" s="2082"/>
      <c r="N150" s="440"/>
      <c r="O150" s="443"/>
      <c r="P150" s="444"/>
      <c r="Q150" s="442"/>
      <c r="R150" s="442"/>
      <c r="S150" s="442"/>
      <c r="T150" s="453"/>
      <c r="U150" s="446"/>
      <c r="V150" s="442"/>
      <c r="W150" s="360"/>
      <c r="X150" s="360"/>
      <c r="Y150" s="360"/>
      <c r="Z150" s="360"/>
      <c r="AA150" s="360"/>
      <c r="AB150" s="360"/>
      <c r="AC150" s="360"/>
      <c r="AD150" s="360"/>
      <c r="AE150" s="360"/>
      <c r="AF150" s="360"/>
      <c r="AG150" s="360"/>
      <c r="AH150" s="360"/>
      <c r="AI150" s="360"/>
      <c r="AJ150" s="360"/>
      <c r="AK150" s="360"/>
      <c r="AL150" s="360"/>
      <c r="AM150" s="360"/>
      <c r="AN150" s="360"/>
      <c r="AO150" s="360"/>
    </row>
    <row r="151" spans="1:41" s="441" customFormat="1" x14ac:dyDescent="0.2">
      <c r="A151" s="439"/>
      <c r="B151" s="360"/>
      <c r="C151" s="360"/>
      <c r="D151" s="360"/>
      <c r="E151" s="360"/>
      <c r="F151" s="360"/>
      <c r="G151" s="360"/>
      <c r="H151" s="360"/>
      <c r="I151" s="440"/>
      <c r="J151" s="180"/>
      <c r="K151" s="447"/>
      <c r="L151" s="2082"/>
      <c r="N151" s="440"/>
      <c r="O151" s="443"/>
      <c r="P151" s="444"/>
      <c r="Q151" s="442"/>
      <c r="R151" s="442"/>
      <c r="S151" s="442"/>
      <c r="T151" s="453"/>
      <c r="U151" s="446"/>
      <c r="V151" s="442"/>
      <c r="W151" s="360"/>
      <c r="X151" s="360"/>
      <c r="Y151" s="360"/>
      <c r="Z151" s="360"/>
      <c r="AA151" s="360"/>
      <c r="AB151" s="360"/>
      <c r="AC151" s="360"/>
      <c r="AD151" s="360"/>
      <c r="AE151" s="360"/>
      <c r="AF151" s="360"/>
      <c r="AG151" s="360"/>
      <c r="AH151" s="360"/>
      <c r="AI151" s="360"/>
      <c r="AJ151" s="360"/>
      <c r="AK151" s="360"/>
      <c r="AL151" s="360"/>
      <c r="AM151" s="360"/>
      <c r="AN151" s="360"/>
      <c r="AO151" s="360"/>
    </row>
    <row r="152" spans="1:41" s="441" customFormat="1" x14ac:dyDescent="0.2">
      <c r="A152" s="439"/>
      <c r="B152" s="360"/>
      <c r="C152" s="360"/>
      <c r="D152" s="360"/>
      <c r="E152" s="360"/>
      <c r="F152" s="360"/>
      <c r="G152" s="360"/>
      <c r="H152" s="360"/>
      <c r="I152" s="440"/>
      <c r="J152" s="180"/>
      <c r="K152" s="447"/>
      <c r="L152" s="2082"/>
      <c r="N152" s="440"/>
      <c r="O152" s="443"/>
      <c r="P152" s="444"/>
      <c r="Q152" s="442"/>
      <c r="R152" s="442"/>
      <c r="S152" s="442"/>
      <c r="T152" s="453"/>
      <c r="U152" s="446"/>
      <c r="V152" s="442"/>
      <c r="W152" s="360"/>
      <c r="X152" s="360"/>
      <c r="Y152" s="360"/>
      <c r="Z152" s="360"/>
      <c r="AA152" s="360"/>
      <c r="AB152" s="360"/>
      <c r="AC152" s="360"/>
      <c r="AD152" s="360"/>
      <c r="AE152" s="360"/>
      <c r="AF152" s="360"/>
      <c r="AG152" s="360"/>
      <c r="AH152" s="360"/>
      <c r="AI152" s="360"/>
      <c r="AJ152" s="360"/>
      <c r="AK152" s="360"/>
      <c r="AL152" s="360"/>
      <c r="AM152" s="360"/>
      <c r="AN152" s="360"/>
      <c r="AO152" s="360"/>
    </row>
    <row r="153" spans="1:41" s="441" customFormat="1" x14ac:dyDescent="0.2">
      <c r="A153" s="439"/>
      <c r="B153" s="360"/>
      <c r="C153" s="360"/>
      <c r="D153" s="360"/>
      <c r="E153" s="360"/>
      <c r="F153" s="360"/>
      <c r="G153" s="360"/>
      <c r="H153" s="360"/>
      <c r="I153" s="440"/>
      <c r="J153" s="180"/>
      <c r="K153" s="447"/>
      <c r="L153" s="2082"/>
      <c r="N153" s="440"/>
      <c r="O153" s="443"/>
      <c r="P153" s="444"/>
      <c r="Q153" s="442"/>
      <c r="R153" s="442"/>
      <c r="S153" s="442"/>
      <c r="T153" s="453"/>
      <c r="U153" s="446"/>
      <c r="V153" s="442"/>
      <c r="W153" s="360"/>
      <c r="X153" s="360"/>
      <c r="Y153" s="360"/>
      <c r="Z153" s="360"/>
      <c r="AA153" s="360"/>
      <c r="AB153" s="360"/>
      <c r="AC153" s="360"/>
      <c r="AD153" s="360"/>
      <c r="AE153" s="360"/>
      <c r="AF153" s="360"/>
      <c r="AG153" s="360"/>
      <c r="AH153" s="360"/>
      <c r="AI153" s="360"/>
      <c r="AJ153" s="360"/>
      <c r="AK153" s="360"/>
      <c r="AL153" s="360"/>
      <c r="AM153" s="360"/>
      <c r="AN153" s="360"/>
      <c r="AO153" s="360"/>
    </row>
    <row r="154" spans="1:41" s="441" customFormat="1" x14ac:dyDescent="0.2">
      <c r="A154" s="439"/>
      <c r="B154" s="360"/>
      <c r="C154" s="360"/>
      <c r="D154" s="360"/>
      <c r="E154" s="360"/>
      <c r="F154" s="360"/>
      <c r="G154" s="360"/>
      <c r="H154" s="360"/>
      <c r="I154" s="440"/>
      <c r="J154" s="180"/>
      <c r="K154" s="447"/>
      <c r="L154" s="2082"/>
      <c r="N154" s="440"/>
      <c r="O154" s="443"/>
      <c r="P154" s="444"/>
      <c r="Q154" s="442"/>
      <c r="R154" s="442"/>
      <c r="S154" s="442"/>
      <c r="T154" s="453"/>
      <c r="U154" s="446"/>
      <c r="V154" s="442"/>
      <c r="W154" s="360"/>
      <c r="X154" s="360"/>
      <c r="Y154" s="360"/>
      <c r="Z154" s="360"/>
      <c r="AA154" s="360"/>
      <c r="AB154" s="360"/>
      <c r="AC154" s="360"/>
      <c r="AD154" s="360"/>
      <c r="AE154" s="360"/>
      <c r="AF154" s="360"/>
      <c r="AG154" s="360"/>
      <c r="AH154" s="360"/>
      <c r="AI154" s="360"/>
      <c r="AJ154" s="360"/>
      <c r="AK154" s="360"/>
      <c r="AL154" s="360"/>
      <c r="AM154" s="360"/>
      <c r="AN154" s="360"/>
      <c r="AO154" s="360"/>
    </row>
    <row r="155" spans="1:41" s="441" customFormat="1" x14ac:dyDescent="0.2">
      <c r="A155" s="439"/>
      <c r="B155" s="360"/>
      <c r="C155" s="360"/>
      <c r="D155" s="360"/>
      <c r="E155" s="360"/>
      <c r="F155" s="360"/>
      <c r="G155" s="360"/>
      <c r="H155" s="360"/>
      <c r="I155" s="440"/>
      <c r="J155" s="180"/>
      <c r="K155" s="447"/>
      <c r="L155" s="2082"/>
      <c r="N155" s="440"/>
      <c r="O155" s="443"/>
      <c r="P155" s="444"/>
      <c r="Q155" s="442"/>
      <c r="R155" s="442"/>
      <c r="S155" s="442"/>
      <c r="T155" s="453"/>
      <c r="U155" s="446"/>
      <c r="V155" s="442"/>
      <c r="W155" s="360"/>
      <c r="X155" s="360"/>
      <c r="Y155" s="360"/>
      <c r="Z155" s="360"/>
      <c r="AA155" s="360"/>
      <c r="AB155" s="360"/>
      <c r="AC155" s="360"/>
      <c r="AD155" s="360"/>
      <c r="AE155" s="360"/>
      <c r="AF155" s="360"/>
      <c r="AG155" s="360"/>
      <c r="AH155" s="360"/>
      <c r="AI155" s="360"/>
      <c r="AJ155" s="360"/>
      <c r="AK155" s="360"/>
      <c r="AL155" s="360"/>
      <c r="AM155" s="360"/>
      <c r="AN155" s="360"/>
      <c r="AO155" s="360"/>
    </row>
    <row r="156" spans="1:41" s="441" customFormat="1" x14ac:dyDescent="0.2">
      <c r="A156" s="439"/>
      <c r="B156" s="360"/>
      <c r="C156" s="360"/>
      <c r="D156" s="360"/>
      <c r="E156" s="360"/>
      <c r="F156" s="360"/>
      <c r="G156" s="360"/>
      <c r="H156" s="360"/>
      <c r="I156" s="440"/>
      <c r="J156" s="180"/>
      <c r="K156" s="447"/>
      <c r="L156" s="2082"/>
      <c r="N156" s="440"/>
      <c r="O156" s="443"/>
      <c r="P156" s="444"/>
      <c r="Q156" s="442"/>
      <c r="R156" s="442"/>
      <c r="S156" s="442"/>
      <c r="T156" s="453"/>
      <c r="U156" s="446"/>
      <c r="V156" s="442"/>
      <c r="W156" s="360"/>
      <c r="X156" s="360"/>
      <c r="Y156" s="360"/>
      <c r="Z156" s="360"/>
      <c r="AA156" s="360"/>
      <c r="AB156" s="360"/>
      <c r="AC156" s="360"/>
      <c r="AD156" s="360"/>
      <c r="AE156" s="360"/>
      <c r="AF156" s="360"/>
      <c r="AG156" s="360"/>
      <c r="AH156" s="360"/>
      <c r="AI156" s="360"/>
      <c r="AJ156" s="360"/>
      <c r="AK156" s="360"/>
      <c r="AL156" s="360"/>
      <c r="AM156" s="360"/>
      <c r="AN156" s="360"/>
      <c r="AO156" s="360"/>
    </row>
    <row r="157" spans="1:41" s="441" customFormat="1" x14ac:dyDescent="0.2">
      <c r="A157" s="439"/>
      <c r="B157" s="360"/>
      <c r="C157" s="360"/>
      <c r="D157" s="360"/>
      <c r="E157" s="360"/>
      <c r="F157" s="360"/>
      <c r="G157" s="360"/>
      <c r="H157" s="360"/>
      <c r="I157" s="440"/>
      <c r="J157" s="180"/>
      <c r="K157" s="447"/>
      <c r="L157" s="2082"/>
      <c r="N157" s="440"/>
      <c r="O157" s="443"/>
      <c r="P157" s="444"/>
      <c r="Q157" s="442"/>
      <c r="R157" s="442"/>
      <c r="S157" s="442"/>
      <c r="T157" s="453"/>
      <c r="U157" s="446"/>
      <c r="V157" s="442"/>
      <c r="W157" s="360"/>
      <c r="X157" s="360"/>
      <c r="Y157" s="360"/>
      <c r="Z157" s="360"/>
      <c r="AA157" s="360"/>
      <c r="AB157" s="360"/>
      <c r="AC157" s="360"/>
      <c r="AD157" s="360"/>
      <c r="AE157" s="360"/>
      <c r="AF157" s="360"/>
      <c r="AG157" s="360"/>
      <c r="AH157" s="360"/>
      <c r="AI157" s="360"/>
      <c r="AJ157" s="360"/>
      <c r="AK157" s="360"/>
      <c r="AL157" s="360"/>
      <c r="AM157" s="360"/>
      <c r="AN157" s="360"/>
      <c r="AO157" s="360"/>
    </row>
    <row r="158" spans="1:41" s="441" customFormat="1" x14ac:dyDescent="0.2">
      <c r="A158" s="439"/>
      <c r="B158" s="360"/>
      <c r="C158" s="360"/>
      <c r="D158" s="360"/>
      <c r="E158" s="360"/>
      <c r="F158" s="360"/>
      <c r="G158" s="360"/>
      <c r="H158" s="360"/>
      <c r="I158" s="440"/>
      <c r="J158" s="180"/>
      <c r="K158" s="447"/>
      <c r="L158" s="2082"/>
      <c r="N158" s="440"/>
      <c r="O158" s="443"/>
      <c r="P158" s="444"/>
      <c r="Q158" s="442"/>
      <c r="R158" s="442"/>
      <c r="S158" s="442"/>
      <c r="T158" s="453"/>
      <c r="U158" s="446"/>
      <c r="V158" s="442"/>
      <c r="W158" s="360"/>
      <c r="X158" s="360"/>
      <c r="Y158" s="360"/>
      <c r="Z158" s="360"/>
      <c r="AA158" s="360"/>
      <c r="AB158" s="360"/>
      <c r="AC158" s="360"/>
      <c r="AD158" s="360"/>
      <c r="AE158" s="360"/>
      <c r="AF158" s="360"/>
      <c r="AG158" s="360"/>
      <c r="AH158" s="360"/>
      <c r="AI158" s="360"/>
      <c r="AJ158" s="360"/>
      <c r="AK158" s="360"/>
      <c r="AL158" s="360"/>
      <c r="AM158" s="360"/>
      <c r="AN158" s="360"/>
      <c r="AO158" s="360"/>
    </row>
    <row r="159" spans="1:41" s="441" customFormat="1" x14ac:dyDescent="0.2">
      <c r="A159" s="439"/>
      <c r="B159" s="360"/>
      <c r="C159" s="360"/>
      <c r="D159" s="360"/>
      <c r="E159" s="360"/>
      <c r="F159" s="360"/>
      <c r="G159" s="360"/>
      <c r="H159" s="360"/>
      <c r="I159" s="440"/>
      <c r="J159" s="180"/>
      <c r="K159" s="447"/>
      <c r="L159" s="2082"/>
      <c r="N159" s="440"/>
      <c r="O159" s="443"/>
      <c r="P159" s="444"/>
      <c r="Q159" s="442"/>
      <c r="R159" s="442"/>
      <c r="S159" s="442"/>
      <c r="T159" s="453"/>
      <c r="U159" s="446"/>
      <c r="V159" s="442"/>
      <c r="W159" s="360"/>
      <c r="X159" s="360"/>
      <c r="Y159" s="360"/>
      <c r="Z159" s="360"/>
      <c r="AA159" s="360"/>
      <c r="AB159" s="360"/>
      <c r="AC159" s="360"/>
      <c r="AD159" s="360"/>
      <c r="AE159" s="360"/>
      <c r="AF159" s="360"/>
      <c r="AG159" s="360"/>
      <c r="AH159" s="360"/>
      <c r="AI159" s="360"/>
      <c r="AJ159" s="360"/>
      <c r="AK159" s="360"/>
      <c r="AL159" s="360"/>
      <c r="AM159" s="360"/>
      <c r="AN159" s="360"/>
      <c r="AO159" s="360"/>
    </row>
    <row r="160" spans="1:41" s="441" customFormat="1" x14ac:dyDescent="0.2">
      <c r="A160" s="439"/>
      <c r="B160" s="360"/>
      <c r="C160" s="360"/>
      <c r="D160" s="360"/>
      <c r="E160" s="360"/>
      <c r="F160" s="360"/>
      <c r="G160" s="360"/>
      <c r="H160" s="360"/>
      <c r="I160" s="440"/>
      <c r="J160" s="180"/>
      <c r="K160" s="447"/>
      <c r="L160" s="2082"/>
      <c r="N160" s="440"/>
      <c r="O160" s="443"/>
      <c r="P160" s="444"/>
      <c r="Q160" s="442"/>
      <c r="R160" s="442"/>
      <c r="S160" s="442"/>
      <c r="T160" s="453"/>
      <c r="U160" s="446"/>
      <c r="V160" s="442"/>
      <c r="W160" s="360"/>
      <c r="X160" s="360"/>
      <c r="Y160" s="360"/>
      <c r="Z160" s="360"/>
      <c r="AA160" s="360"/>
      <c r="AB160" s="360"/>
      <c r="AC160" s="360"/>
      <c r="AD160" s="360"/>
      <c r="AE160" s="360"/>
      <c r="AF160" s="360"/>
      <c r="AG160" s="360"/>
      <c r="AH160" s="360"/>
      <c r="AI160" s="360"/>
      <c r="AJ160" s="360"/>
      <c r="AK160" s="360"/>
      <c r="AL160" s="360"/>
      <c r="AM160" s="360"/>
      <c r="AN160" s="360"/>
      <c r="AO160" s="360"/>
    </row>
    <row r="161" spans="1:41" s="441" customFormat="1" x14ac:dyDescent="0.2">
      <c r="A161" s="439"/>
      <c r="B161" s="360"/>
      <c r="C161" s="360"/>
      <c r="D161" s="360"/>
      <c r="E161" s="360"/>
      <c r="F161" s="360"/>
      <c r="G161" s="360"/>
      <c r="H161" s="360"/>
      <c r="I161" s="440"/>
      <c r="J161" s="180"/>
      <c r="K161" s="447"/>
      <c r="L161" s="2082"/>
      <c r="N161" s="440"/>
      <c r="O161" s="443"/>
      <c r="P161" s="444"/>
      <c r="Q161" s="442"/>
      <c r="R161" s="442"/>
      <c r="S161" s="442"/>
      <c r="T161" s="453"/>
      <c r="U161" s="446"/>
      <c r="V161" s="442"/>
      <c r="W161" s="360"/>
      <c r="X161" s="360"/>
      <c r="Y161" s="360"/>
      <c r="Z161" s="360"/>
      <c r="AA161" s="360"/>
      <c r="AB161" s="360"/>
      <c r="AC161" s="360"/>
      <c r="AD161" s="360"/>
      <c r="AE161" s="360"/>
      <c r="AF161" s="360"/>
      <c r="AG161" s="360"/>
      <c r="AH161" s="360"/>
      <c r="AI161" s="360"/>
      <c r="AJ161" s="360"/>
      <c r="AK161" s="360"/>
      <c r="AL161" s="360"/>
      <c r="AM161" s="360"/>
      <c r="AN161" s="360"/>
      <c r="AO161" s="360"/>
    </row>
    <row r="162" spans="1:41" s="441" customFormat="1" x14ac:dyDescent="0.2">
      <c r="A162" s="439"/>
      <c r="B162" s="360"/>
      <c r="C162" s="360"/>
      <c r="D162" s="360"/>
      <c r="E162" s="360"/>
      <c r="F162" s="360"/>
      <c r="G162" s="360"/>
      <c r="H162" s="360"/>
      <c r="I162" s="440"/>
      <c r="J162" s="180"/>
      <c r="K162" s="447"/>
      <c r="L162" s="2082"/>
      <c r="N162" s="440"/>
      <c r="O162" s="443"/>
      <c r="P162" s="444"/>
      <c r="Q162" s="442"/>
      <c r="R162" s="442"/>
      <c r="S162" s="442"/>
      <c r="T162" s="453"/>
      <c r="U162" s="446"/>
      <c r="V162" s="442"/>
      <c r="W162" s="360"/>
      <c r="X162" s="360"/>
      <c r="Y162" s="360"/>
      <c r="Z162" s="360"/>
      <c r="AA162" s="360"/>
      <c r="AB162" s="360"/>
      <c r="AC162" s="360"/>
      <c r="AD162" s="360"/>
      <c r="AE162" s="360"/>
      <c r="AF162" s="360"/>
      <c r="AG162" s="360"/>
      <c r="AH162" s="360"/>
      <c r="AI162" s="360"/>
      <c r="AJ162" s="360"/>
      <c r="AK162" s="360"/>
      <c r="AL162" s="360"/>
      <c r="AM162" s="360"/>
      <c r="AN162" s="360"/>
      <c r="AO162" s="360"/>
    </row>
    <row r="163" spans="1:41" s="441" customFormat="1" x14ac:dyDescent="0.2">
      <c r="A163" s="439"/>
      <c r="B163" s="360"/>
      <c r="C163" s="360"/>
      <c r="D163" s="360"/>
      <c r="E163" s="360"/>
      <c r="F163" s="360"/>
      <c r="G163" s="360"/>
      <c r="H163" s="360"/>
      <c r="I163" s="440"/>
      <c r="J163" s="180"/>
      <c r="K163" s="447"/>
      <c r="L163" s="2082"/>
      <c r="N163" s="440"/>
      <c r="O163" s="443"/>
      <c r="P163" s="444"/>
      <c r="Q163" s="442"/>
      <c r="R163" s="442"/>
      <c r="S163" s="442"/>
      <c r="T163" s="453"/>
      <c r="U163" s="446"/>
      <c r="V163" s="442"/>
      <c r="W163" s="360"/>
      <c r="X163" s="360"/>
      <c r="Y163" s="360"/>
      <c r="Z163" s="360"/>
      <c r="AA163" s="360"/>
      <c r="AB163" s="360"/>
      <c r="AC163" s="360"/>
      <c r="AD163" s="360"/>
      <c r="AE163" s="360"/>
      <c r="AF163" s="360"/>
      <c r="AG163" s="360"/>
      <c r="AH163" s="360"/>
      <c r="AI163" s="360"/>
      <c r="AJ163" s="360"/>
      <c r="AK163" s="360"/>
      <c r="AL163" s="360"/>
      <c r="AM163" s="360"/>
      <c r="AN163" s="360"/>
      <c r="AO163" s="360"/>
    </row>
    <row r="164" spans="1:41" s="441" customFormat="1" x14ac:dyDescent="0.2">
      <c r="A164" s="439"/>
      <c r="B164" s="360"/>
      <c r="C164" s="360"/>
      <c r="D164" s="360"/>
      <c r="E164" s="360"/>
      <c r="F164" s="360"/>
      <c r="G164" s="360"/>
      <c r="H164" s="360"/>
      <c r="I164" s="440"/>
      <c r="J164" s="180"/>
      <c r="K164" s="447"/>
      <c r="L164" s="2082"/>
      <c r="N164" s="440"/>
      <c r="O164" s="443"/>
      <c r="P164" s="444"/>
      <c r="Q164" s="442"/>
      <c r="R164" s="442"/>
      <c r="S164" s="442"/>
      <c r="T164" s="453"/>
      <c r="U164" s="446"/>
      <c r="V164" s="442"/>
      <c r="W164" s="360"/>
      <c r="X164" s="360"/>
      <c r="Y164" s="360"/>
      <c r="Z164" s="360"/>
      <c r="AA164" s="360"/>
      <c r="AB164" s="360"/>
      <c r="AC164" s="360"/>
      <c r="AD164" s="360"/>
      <c r="AE164" s="360"/>
      <c r="AF164" s="360"/>
      <c r="AG164" s="360"/>
      <c r="AH164" s="360"/>
      <c r="AI164" s="360"/>
      <c r="AJ164" s="360"/>
      <c r="AK164" s="360"/>
      <c r="AL164" s="360"/>
      <c r="AM164" s="360"/>
      <c r="AN164" s="360"/>
      <c r="AO164" s="360"/>
    </row>
    <row r="165" spans="1:41" s="441" customFormat="1" x14ac:dyDescent="0.2">
      <c r="A165" s="439"/>
      <c r="B165" s="360"/>
      <c r="C165" s="360"/>
      <c r="D165" s="360"/>
      <c r="E165" s="360"/>
      <c r="F165" s="360"/>
      <c r="G165" s="360"/>
      <c r="H165" s="360"/>
      <c r="I165" s="440"/>
      <c r="J165" s="180"/>
      <c r="K165" s="447"/>
      <c r="L165" s="2082"/>
      <c r="N165" s="440"/>
      <c r="O165" s="443"/>
      <c r="P165" s="444"/>
      <c r="Q165" s="442"/>
      <c r="R165" s="442"/>
      <c r="S165" s="442"/>
      <c r="T165" s="453"/>
      <c r="U165" s="446"/>
      <c r="V165" s="442"/>
      <c r="W165" s="360"/>
      <c r="X165" s="360"/>
      <c r="Y165" s="360"/>
      <c r="Z165" s="360"/>
      <c r="AA165" s="360"/>
      <c r="AB165" s="360"/>
      <c r="AC165" s="360"/>
      <c r="AD165" s="360"/>
      <c r="AE165" s="360"/>
      <c r="AF165" s="360"/>
      <c r="AG165" s="360"/>
      <c r="AH165" s="360"/>
      <c r="AI165" s="360"/>
      <c r="AJ165" s="360"/>
      <c r="AK165" s="360"/>
      <c r="AL165" s="360"/>
      <c r="AM165" s="360"/>
      <c r="AN165" s="360"/>
      <c r="AO165" s="360"/>
    </row>
    <row r="166" spans="1:41" s="441" customFormat="1" x14ac:dyDescent="0.2">
      <c r="A166" s="439"/>
      <c r="B166" s="360"/>
      <c r="C166" s="360"/>
      <c r="D166" s="360"/>
      <c r="E166" s="360"/>
      <c r="F166" s="360"/>
      <c r="G166" s="360"/>
      <c r="H166" s="360"/>
      <c r="I166" s="440"/>
      <c r="J166" s="180"/>
      <c r="K166" s="447"/>
      <c r="L166" s="2082"/>
      <c r="N166" s="440"/>
      <c r="O166" s="443"/>
      <c r="P166" s="444"/>
      <c r="Q166" s="442"/>
      <c r="R166" s="442"/>
      <c r="S166" s="442"/>
      <c r="T166" s="453"/>
      <c r="U166" s="446"/>
      <c r="V166" s="442"/>
      <c r="W166" s="360"/>
      <c r="X166" s="360"/>
      <c r="Y166" s="360"/>
      <c r="Z166" s="360"/>
      <c r="AA166" s="360"/>
      <c r="AB166" s="360"/>
      <c r="AC166" s="360"/>
      <c r="AD166" s="360"/>
      <c r="AE166" s="360"/>
      <c r="AF166" s="360"/>
      <c r="AG166" s="360"/>
      <c r="AH166" s="360"/>
      <c r="AI166" s="360"/>
      <c r="AJ166" s="360"/>
      <c r="AK166" s="360"/>
      <c r="AL166" s="360"/>
      <c r="AM166" s="360"/>
      <c r="AN166" s="360"/>
      <c r="AO166" s="360"/>
    </row>
    <row r="167" spans="1:41" s="441" customFormat="1" x14ac:dyDescent="0.2">
      <c r="A167" s="439"/>
      <c r="B167" s="360"/>
      <c r="C167" s="360"/>
      <c r="D167" s="360"/>
      <c r="E167" s="360"/>
      <c r="F167" s="360"/>
      <c r="G167" s="360"/>
      <c r="H167" s="360"/>
      <c r="I167" s="440"/>
      <c r="J167" s="180"/>
      <c r="K167" s="447"/>
      <c r="L167" s="2082"/>
      <c r="N167" s="440"/>
      <c r="O167" s="443"/>
      <c r="P167" s="444"/>
      <c r="Q167" s="442"/>
      <c r="R167" s="442"/>
      <c r="S167" s="442"/>
      <c r="T167" s="453"/>
      <c r="U167" s="446"/>
      <c r="V167" s="442"/>
      <c r="W167" s="360"/>
      <c r="X167" s="360"/>
      <c r="Y167" s="360"/>
      <c r="Z167" s="360"/>
      <c r="AA167" s="360"/>
      <c r="AB167" s="360"/>
      <c r="AC167" s="360"/>
      <c r="AD167" s="360"/>
      <c r="AE167" s="360"/>
      <c r="AF167" s="360"/>
      <c r="AG167" s="360"/>
      <c r="AH167" s="360"/>
      <c r="AI167" s="360"/>
      <c r="AJ167" s="360"/>
      <c r="AK167" s="360"/>
      <c r="AL167" s="360"/>
      <c r="AM167" s="360"/>
      <c r="AN167" s="360"/>
      <c r="AO167" s="360"/>
    </row>
    <row r="168" spans="1:41" s="441" customFormat="1" x14ac:dyDescent="0.2">
      <c r="A168" s="439"/>
      <c r="B168" s="360"/>
      <c r="C168" s="360"/>
      <c r="D168" s="360"/>
      <c r="E168" s="360"/>
      <c r="F168" s="360"/>
      <c r="G168" s="360"/>
      <c r="H168" s="360"/>
      <c r="I168" s="440"/>
      <c r="J168" s="180"/>
      <c r="K168" s="447"/>
      <c r="L168" s="2082"/>
      <c r="N168" s="440"/>
      <c r="O168" s="443"/>
      <c r="P168" s="444"/>
      <c r="Q168" s="442"/>
      <c r="R168" s="442"/>
      <c r="S168" s="442"/>
      <c r="T168" s="453"/>
      <c r="U168" s="446"/>
      <c r="V168" s="442"/>
      <c r="W168" s="360"/>
      <c r="X168" s="360"/>
      <c r="Y168" s="360"/>
      <c r="Z168" s="360"/>
      <c r="AA168" s="360"/>
      <c r="AB168" s="360"/>
      <c r="AC168" s="360"/>
      <c r="AD168" s="360"/>
      <c r="AE168" s="360"/>
      <c r="AF168" s="360"/>
      <c r="AG168" s="360"/>
      <c r="AH168" s="360"/>
      <c r="AI168" s="360"/>
      <c r="AJ168" s="360"/>
      <c r="AK168" s="360"/>
      <c r="AL168" s="360"/>
      <c r="AM168" s="360"/>
      <c r="AN168" s="360"/>
      <c r="AO168" s="360"/>
    </row>
    <row r="169" spans="1:41" s="441" customFormat="1" x14ac:dyDescent="0.2">
      <c r="A169" s="439"/>
      <c r="B169" s="360"/>
      <c r="C169" s="360"/>
      <c r="D169" s="360"/>
      <c r="E169" s="360"/>
      <c r="F169" s="360"/>
      <c r="G169" s="360"/>
      <c r="H169" s="360"/>
      <c r="I169" s="440"/>
      <c r="J169" s="180"/>
      <c r="K169" s="447"/>
      <c r="L169" s="2082"/>
      <c r="N169" s="440"/>
      <c r="O169" s="443"/>
      <c r="P169" s="444"/>
      <c r="Q169" s="442"/>
      <c r="R169" s="442"/>
      <c r="S169" s="442"/>
      <c r="T169" s="453"/>
      <c r="U169" s="446"/>
      <c r="V169" s="442"/>
      <c r="W169" s="360"/>
      <c r="X169" s="360"/>
      <c r="Y169" s="360"/>
      <c r="Z169" s="360"/>
      <c r="AA169" s="360"/>
      <c r="AB169" s="360"/>
      <c r="AC169" s="360"/>
      <c r="AD169" s="360"/>
      <c r="AE169" s="360"/>
      <c r="AF169" s="360"/>
      <c r="AG169" s="360"/>
      <c r="AH169" s="360"/>
      <c r="AI169" s="360"/>
      <c r="AJ169" s="360"/>
      <c r="AK169" s="360"/>
      <c r="AL169" s="360"/>
      <c r="AM169" s="360"/>
      <c r="AN169" s="360"/>
      <c r="AO169" s="360"/>
    </row>
    <row r="170" spans="1:41" s="441" customFormat="1" x14ac:dyDescent="0.2">
      <c r="A170" s="439"/>
      <c r="B170" s="360"/>
      <c r="C170" s="360"/>
      <c r="D170" s="360"/>
      <c r="E170" s="360"/>
      <c r="F170" s="360"/>
      <c r="G170" s="360"/>
      <c r="H170" s="360"/>
      <c r="I170" s="440"/>
      <c r="J170" s="180"/>
      <c r="K170" s="447"/>
      <c r="L170" s="2082"/>
      <c r="N170" s="440"/>
      <c r="O170" s="443"/>
      <c r="P170" s="444"/>
      <c r="Q170" s="442"/>
      <c r="R170" s="442"/>
      <c r="S170" s="442"/>
      <c r="T170" s="453"/>
      <c r="U170" s="446"/>
      <c r="V170" s="442"/>
      <c r="W170" s="360"/>
      <c r="X170" s="360"/>
      <c r="Y170" s="360"/>
      <c r="Z170" s="360"/>
      <c r="AA170" s="360"/>
      <c r="AB170" s="360"/>
      <c r="AC170" s="360"/>
      <c r="AD170" s="360"/>
      <c r="AE170" s="360"/>
      <c r="AF170" s="360"/>
      <c r="AG170" s="360"/>
      <c r="AH170" s="360"/>
      <c r="AI170" s="360"/>
      <c r="AJ170" s="360"/>
      <c r="AK170" s="360"/>
      <c r="AL170" s="360"/>
      <c r="AM170" s="360"/>
      <c r="AN170" s="360"/>
      <c r="AO170" s="360"/>
    </row>
    <row r="171" spans="1:41" s="441" customFormat="1" x14ac:dyDescent="0.2">
      <c r="A171" s="439"/>
      <c r="B171" s="360"/>
      <c r="C171" s="360"/>
      <c r="D171" s="360"/>
      <c r="E171" s="360"/>
      <c r="F171" s="360"/>
      <c r="G171" s="360"/>
      <c r="H171" s="360"/>
      <c r="I171" s="440"/>
      <c r="J171" s="180"/>
      <c r="K171" s="447"/>
      <c r="L171" s="2082"/>
      <c r="N171" s="440"/>
      <c r="O171" s="443"/>
      <c r="P171" s="444"/>
      <c r="Q171" s="442"/>
      <c r="R171" s="442"/>
      <c r="S171" s="442"/>
      <c r="T171" s="453"/>
      <c r="U171" s="446"/>
      <c r="V171" s="442"/>
      <c r="W171" s="360"/>
      <c r="X171" s="360"/>
      <c r="Y171" s="360"/>
      <c r="Z171" s="360"/>
      <c r="AA171" s="360"/>
      <c r="AB171" s="360"/>
      <c r="AC171" s="360"/>
      <c r="AD171" s="360"/>
      <c r="AE171" s="360"/>
      <c r="AF171" s="360"/>
      <c r="AG171" s="360"/>
      <c r="AH171" s="360"/>
      <c r="AI171" s="360"/>
      <c r="AJ171" s="360"/>
      <c r="AK171" s="360"/>
      <c r="AL171" s="360"/>
      <c r="AM171" s="360"/>
      <c r="AN171" s="360"/>
      <c r="AO171" s="360"/>
    </row>
    <row r="172" spans="1:41" s="441" customFormat="1" x14ac:dyDescent="0.2">
      <c r="A172" s="439"/>
      <c r="B172" s="360"/>
      <c r="C172" s="360"/>
      <c r="D172" s="360"/>
      <c r="E172" s="360"/>
      <c r="F172" s="360"/>
      <c r="G172" s="360"/>
      <c r="H172" s="360"/>
      <c r="I172" s="440"/>
      <c r="J172" s="180"/>
      <c r="K172" s="447"/>
      <c r="L172" s="2082"/>
      <c r="N172" s="440"/>
      <c r="O172" s="443"/>
      <c r="P172" s="444"/>
      <c r="Q172" s="442"/>
      <c r="R172" s="442"/>
      <c r="S172" s="442"/>
      <c r="T172" s="453"/>
      <c r="U172" s="446"/>
      <c r="V172" s="442"/>
      <c r="W172" s="360"/>
      <c r="X172" s="360"/>
      <c r="Y172" s="360"/>
      <c r="Z172" s="360"/>
      <c r="AA172" s="360"/>
      <c r="AB172" s="360"/>
      <c r="AC172" s="360"/>
      <c r="AD172" s="360"/>
      <c r="AE172" s="360"/>
      <c r="AF172" s="360"/>
      <c r="AG172" s="360"/>
      <c r="AH172" s="360"/>
      <c r="AI172" s="360"/>
      <c r="AJ172" s="360"/>
      <c r="AK172" s="360"/>
      <c r="AL172" s="360"/>
      <c r="AM172" s="360"/>
      <c r="AN172" s="360"/>
      <c r="AO172" s="360"/>
    </row>
    <row r="173" spans="1:41" s="441" customFormat="1" x14ac:dyDescent="0.2">
      <c r="A173" s="439"/>
      <c r="B173" s="360"/>
      <c r="C173" s="360"/>
      <c r="D173" s="360"/>
      <c r="E173" s="360"/>
      <c r="F173" s="360"/>
      <c r="G173" s="360"/>
      <c r="H173" s="360"/>
      <c r="I173" s="440"/>
      <c r="J173" s="180"/>
      <c r="K173" s="447"/>
      <c r="L173" s="2082"/>
      <c r="N173" s="440"/>
      <c r="O173" s="443"/>
      <c r="P173" s="444"/>
      <c r="Q173" s="442"/>
      <c r="R173" s="442"/>
      <c r="S173" s="442"/>
      <c r="T173" s="453"/>
      <c r="U173" s="446"/>
      <c r="V173" s="442"/>
      <c r="W173" s="360"/>
      <c r="X173" s="360"/>
      <c r="Y173" s="360"/>
      <c r="Z173" s="360"/>
      <c r="AA173" s="360"/>
      <c r="AB173" s="360"/>
      <c r="AC173" s="360"/>
      <c r="AD173" s="360"/>
      <c r="AE173" s="360"/>
      <c r="AF173" s="360"/>
      <c r="AG173" s="360"/>
      <c r="AH173" s="360"/>
      <c r="AI173" s="360"/>
      <c r="AJ173" s="360"/>
      <c r="AK173" s="360"/>
      <c r="AL173" s="360"/>
      <c r="AM173" s="360"/>
      <c r="AN173" s="360"/>
      <c r="AO173" s="360"/>
    </row>
    <row r="174" spans="1:41" s="441" customFormat="1" x14ac:dyDescent="0.2">
      <c r="A174" s="439"/>
      <c r="B174" s="360"/>
      <c r="C174" s="360"/>
      <c r="D174" s="360"/>
      <c r="E174" s="360"/>
      <c r="F174" s="360"/>
      <c r="G174" s="360"/>
      <c r="H174" s="360"/>
      <c r="I174" s="440"/>
      <c r="J174" s="180"/>
      <c r="K174" s="447"/>
      <c r="L174" s="2082"/>
      <c r="N174" s="440"/>
      <c r="O174" s="443"/>
      <c r="P174" s="444"/>
      <c r="Q174" s="442"/>
      <c r="R174" s="442"/>
      <c r="S174" s="442"/>
      <c r="T174" s="453"/>
      <c r="U174" s="446"/>
      <c r="V174" s="442"/>
      <c r="W174" s="360"/>
      <c r="X174" s="360"/>
      <c r="Y174" s="360"/>
      <c r="Z174" s="360"/>
      <c r="AA174" s="360"/>
      <c r="AB174" s="360"/>
      <c r="AC174" s="360"/>
      <c r="AD174" s="360"/>
      <c r="AE174" s="360"/>
      <c r="AF174" s="360"/>
      <c r="AG174" s="360"/>
      <c r="AH174" s="360"/>
      <c r="AI174" s="360"/>
      <c r="AJ174" s="360"/>
      <c r="AK174" s="360"/>
      <c r="AL174" s="360"/>
      <c r="AM174" s="360"/>
      <c r="AN174" s="360"/>
      <c r="AO174" s="360"/>
    </row>
    <row r="175" spans="1:41" s="441" customFormat="1" x14ac:dyDescent="0.2">
      <c r="A175" s="439"/>
      <c r="B175" s="360"/>
      <c r="C175" s="360"/>
      <c r="D175" s="360"/>
      <c r="E175" s="360"/>
      <c r="F175" s="360"/>
      <c r="G175" s="360"/>
      <c r="H175" s="360"/>
      <c r="I175" s="440"/>
      <c r="J175" s="180"/>
      <c r="K175" s="447"/>
      <c r="L175" s="2082"/>
      <c r="N175" s="440"/>
      <c r="O175" s="443"/>
      <c r="P175" s="444"/>
      <c r="Q175" s="442"/>
      <c r="R175" s="442"/>
      <c r="S175" s="442"/>
      <c r="T175" s="453"/>
      <c r="U175" s="446"/>
      <c r="V175" s="442"/>
      <c r="W175" s="360"/>
      <c r="X175" s="360"/>
      <c r="Y175" s="360"/>
      <c r="Z175" s="360"/>
      <c r="AA175" s="360"/>
      <c r="AB175" s="360"/>
      <c r="AC175" s="360"/>
      <c r="AD175" s="360"/>
      <c r="AE175" s="360"/>
      <c r="AF175" s="360"/>
      <c r="AG175" s="360"/>
      <c r="AH175" s="360"/>
      <c r="AI175" s="360"/>
      <c r="AJ175" s="360"/>
      <c r="AK175" s="360"/>
      <c r="AL175" s="360"/>
      <c r="AM175" s="360"/>
      <c r="AN175" s="360"/>
      <c r="AO175" s="360"/>
    </row>
    <row r="176" spans="1:41" s="441" customFormat="1" x14ac:dyDescent="0.2">
      <c r="A176" s="439"/>
      <c r="B176" s="360"/>
      <c r="C176" s="360"/>
      <c r="D176" s="360"/>
      <c r="E176" s="360"/>
      <c r="F176" s="360"/>
      <c r="G176" s="360"/>
      <c r="H176" s="360"/>
      <c r="I176" s="440"/>
      <c r="J176" s="180"/>
      <c r="K176" s="447"/>
      <c r="L176" s="2082"/>
      <c r="N176" s="440"/>
      <c r="O176" s="443"/>
      <c r="P176" s="444"/>
      <c r="Q176" s="442"/>
      <c r="R176" s="442"/>
      <c r="S176" s="442"/>
      <c r="T176" s="453"/>
      <c r="U176" s="446"/>
      <c r="V176" s="442"/>
      <c r="W176" s="360"/>
      <c r="X176" s="360"/>
      <c r="Y176" s="360"/>
      <c r="Z176" s="360"/>
      <c r="AA176" s="360"/>
      <c r="AB176" s="360"/>
      <c r="AC176" s="360"/>
      <c r="AD176" s="360"/>
      <c r="AE176" s="360"/>
      <c r="AF176" s="360"/>
      <c r="AG176" s="360"/>
      <c r="AH176" s="360"/>
      <c r="AI176" s="360"/>
      <c r="AJ176" s="360"/>
      <c r="AK176" s="360"/>
      <c r="AL176" s="360"/>
      <c r="AM176" s="360"/>
      <c r="AN176" s="360"/>
      <c r="AO176" s="360"/>
    </row>
    <row r="177" spans="1:41" s="441" customFormat="1" x14ac:dyDescent="0.2">
      <c r="A177" s="439"/>
      <c r="B177" s="360"/>
      <c r="C177" s="360"/>
      <c r="D177" s="360"/>
      <c r="E177" s="360"/>
      <c r="F177" s="360"/>
      <c r="G177" s="360"/>
      <c r="H177" s="360"/>
      <c r="I177" s="440"/>
      <c r="J177" s="180"/>
      <c r="K177" s="447"/>
      <c r="L177" s="2082"/>
      <c r="N177" s="440"/>
      <c r="O177" s="443"/>
      <c r="P177" s="444"/>
      <c r="Q177" s="442"/>
      <c r="R177" s="442"/>
      <c r="S177" s="442"/>
      <c r="T177" s="453"/>
      <c r="U177" s="446"/>
      <c r="V177" s="442"/>
      <c r="W177" s="360"/>
      <c r="X177" s="360"/>
      <c r="Y177" s="360"/>
      <c r="Z177" s="360"/>
      <c r="AA177" s="360"/>
      <c r="AB177" s="360"/>
      <c r="AC177" s="360"/>
      <c r="AD177" s="360"/>
      <c r="AE177" s="360"/>
      <c r="AF177" s="360"/>
      <c r="AG177" s="360"/>
      <c r="AH177" s="360"/>
      <c r="AI177" s="360"/>
      <c r="AJ177" s="360"/>
      <c r="AK177" s="360"/>
      <c r="AL177" s="360"/>
      <c r="AM177" s="360"/>
      <c r="AN177" s="360"/>
      <c r="AO177" s="360"/>
    </row>
    <row r="178" spans="1:41" s="441" customFormat="1" x14ac:dyDescent="0.2">
      <c r="A178" s="439"/>
      <c r="B178" s="360"/>
      <c r="C178" s="360"/>
      <c r="D178" s="360"/>
      <c r="E178" s="360"/>
      <c r="F178" s="360"/>
      <c r="G178" s="360"/>
      <c r="H178" s="360"/>
      <c r="I178" s="440"/>
      <c r="J178" s="180"/>
      <c r="K178" s="447"/>
      <c r="L178" s="2082"/>
      <c r="N178" s="440"/>
      <c r="O178" s="443"/>
      <c r="P178" s="444"/>
      <c r="Q178" s="442"/>
      <c r="R178" s="442"/>
      <c r="S178" s="442"/>
      <c r="T178" s="453"/>
      <c r="U178" s="446"/>
      <c r="V178" s="442"/>
      <c r="W178" s="360"/>
      <c r="X178" s="360"/>
      <c r="Y178" s="360"/>
      <c r="Z178" s="360"/>
      <c r="AA178" s="360"/>
      <c r="AB178" s="360"/>
      <c r="AC178" s="360"/>
      <c r="AD178" s="360"/>
      <c r="AE178" s="360"/>
      <c r="AF178" s="360"/>
      <c r="AG178" s="360"/>
      <c r="AH178" s="360"/>
      <c r="AI178" s="360"/>
      <c r="AJ178" s="360"/>
      <c r="AK178" s="360"/>
      <c r="AL178" s="360"/>
      <c r="AM178" s="360"/>
      <c r="AN178" s="360"/>
      <c r="AO178" s="360"/>
    </row>
    <row r="179" spans="1:41" s="441" customFormat="1" x14ac:dyDescent="0.2">
      <c r="A179" s="439"/>
      <c r="B179" s="360"/>
      <c r="C179" s="360"/>
      <c r="D179" s="360"/>
      <c r="E179" s="360"/>
      <c r="F179" s="360"/>
      <c r="G179" s="360"/>
      <c r="H179" s="360"/>
      <c r="I179" s="440"/>
      <c r="J179" s="180"/>
      <c r="K179" s="447"/>
      <c r="L179" s="2082"/>
      <c r="N179" s="440"/>
      <c r="O179" s="443"/>
      <c r="P179" s="444"/>
      <c r="Q179" s="442"/>
      <c r="R179" s="442"/>
      <c r="S179" s="442"/>
      <c r="T179" s="453"/>
      <c r="U179" s="446"/>
      <c r="V179" s="442"/>
      <c r="W179" s="360"/>
      <c r="X179" s="360"/>
      <c r="Y179" s="360"/>
      <c r="Z179" s="360"/>
      <c r="AA179" s="360"/>
      <c r="AB179" s="360"/>
      <c r="AC179" s="360"/>
      <c r="AD179" s="360"/>
      <c r="AE179" s="360"/>
      <c r="AF179" s="360"/>
      <c r="AG179" s="360"/>
      <c r="AH179" s="360"/>
      <c r="AI179" s="360"/>
      <c r="AJ179" s="360"/>
      <c r="AK179" s="360"/>
      <c r="AL179" s="360"/>
      <c r="AM179" s="360"/>
      <c r="AN179" s="360"/>
      <c r="AO179" s="360"/>
    </row>
    <row r="180" spans="1:41" s="441" customFormat="1" x14ac:dyDescent="0.2">
      <c r="A180" s="439"/>
      <c r="B180" s="360"/>
      <c r="C180" s="360"/>
      <c r="D180" s="360"/>
      <c r="E180" s="360"/>
      <c r="F180" s="360"/>
      <c r="G180" s="360"/>
      <c r="H180" s="360"/>
      <c r="I180" s="440"/>
      <c r="J180" s="180"/>
      <c r="K180" s="447"/>
      <c r="L180" s="2082"/>
      <c r="N180" s="440"/>
      <c r="O180" s="443"/>
      <c r="P180" s="444"/>
      <c r="Q180" s="442"/>
      <c r="R180" s="442"/>
      <c r="S180" s="442"/>
      <c r="T180" s="453"/>
      <c r="U180" s="446"/>
      <c r="V180" s="442"/>
      <c r="W180" s="360"/>
      <c r="X180" s="360"/>
      <c r="Y180" s="360"/>
      <c r="Z180" s="360"/>
      <c r="AA180" s="360"/>
      <c r="AB180" s="360"/>
      <c r="AC180" s="360"/>
      <c r="AD180" s="360"/>
      <c r="AE180" s="360"/>
      <c r="AF180" s="360"/>
      <c r="AG180" s="360"/>
      <c r="AH180" s="360"/>
      <c r="AI180" s="360"/>
      <c r="AJ180" s="360"/>
      <c r="AK180" s="360"/>
      <c r="AL180" s="360"/>
      <c r="AM180" s="360"/>
      <c r="AN180" s="360"/>
      <c r="AO180" s="360"/>
    </row>
    <row r="181" spans="1:41" s="441" customFormat="1" x14ac:dyDescent="0.2">
      <c r="A181" s="439"/>
      <c r="B181" s="360"/>
      <c r="C181" s="360"/>
      <c r="D181" s="360"/>
      <c r="E181" s="360"/>
      <c r="F181" s="360"/>
      <c r="G181" s="360"/>
      <c r="H181" s="360"/>
      <c r="I181" s="440"/>
      <c r="J181" s="180"/>
      <c r="K181" s="447"/>
      <c r="L181" s="2082"/>
      <c r="N181" s="440"/>
      <c r="O181" s="443"/>
      <c r="P181" s="444"/>
      <c r="Q181" s="442"/>
      <c r="R181" s="442"/>
      <c r="S181" s="442"/>
      <c r="T181" s="453"/>
      <c r="U181" s="446"/>
      <c r="V181" s="442"/>
      <c r="W181" s="360"/>
      <c r="X181" s="360"/>
      <c r="Y181" s="360"/>
      <c r="Z181" s="360"/>
      <c r="AA181" s="360"/>
      <c r="AB181" s="360"/>
      <c r="AC181" s="360"/>
      <c r="AD181" s="360"/>
      <c r="AE181" s="360"/>
      <c r="AF181" s="360"/>
      <c r="AG181" s="360"/>
      <c r="AH181" s="360"/>
      <c r="AI181" s="360"/>
      <c r="AJ181" s="360"/>
      <c r="AK181" s="360"/>
      <c r="AL181" s="360"/>
      <c r="AM181" s="360"/>
      <c r="AN181" s="360"/>
      <c r="AO181" s="360"/>
    </row>
    <row r="182" spans="1:41" s="441" customFormat="1" x14ac:dyDescent="0.2">
      <c r="A182" s="439"/>
      <c r="B182" s="360"/>
      <c r="C182" s="360"/>
      <c r="D182" s="360"/>
      <c r="E182" s="360"/>
      <c r="F182" s="360"/>
      <c r="G182" s="360"/>
      <c r="H182" s="360"/>
      <c r="I182" s="440"/>
      <c r="J182" s="180"/>
      <c r="K182" s="447"/>
      <c r="L182" s="2082"/>
      <c r="N182" s="440"/>
      <c r="O182" s="443"/>
      <c r="P182" s="444"/>
      <c r="Q182" s="442"/>
      <c r="R182" s="442"/>
      <c r="S182" s="442"/>
      <c r="T182" s="453"/>
      <c r="U182" s="446"/>
      <c r="V182" s="442"/>
      <c r="W182" s="360"/>
      <c r="X182" s="360"/>
      <c r="Y182" s="360"/>
      <c r="Z182" s="360"/>
      <c r="AA182" s="360"/>
      <c r="AB182" s="360"/>
      <c r="AC182" s="360"/>
      <c r="AD182" s="360"/>
      <c r="AE182" s="360"/>
      <c r="AF182" s="360"/>
      <c r="AG182" s="360"/>
      <c r="AH182" s="360"/>
      <c r="AI182" s="360"/>
      <c r="AJ182" s="360"/>
      <c r="AK182" s="360"/>
      <c r="AL182" s="360"/>
      <c r="AM182" s="360"/>
      <c r="AN182" s="360"/>
      <c r="AO182" s="360"/>
    </row>
    <row r="183" spans="1:41" s="441" customFormat="1" x14ac:dyDescent="0.2">
      <c r="A183" s="439"/>
      <c r="B183" s="360"/>
      <c r="C183" s="360"/>
      <c r="D183" s="360"/>
      <c r="E183" s="360"/>
      <c r="F183" s="360"/>
      <c r="G183" s="360"/>
      <c r="H183" s="360"/>
      <c r="I183" s="440"/>
      <c r="J183" s="180"/>
      <c r="K183" s="447"/>
      <c r="L183" s="2082"/>
      <c r="N183" s="440"/>
      <c r="O183" s="443"/>
      <c r="P183" s="444"/>
      <c r="Q183" s="442"/>
      <c r="R183" s="442"/>
      <c r="S183" s="442"/>
      <c r="T183" s="453"/>
      <c r="U183" s="446"/>
      <c r="V183" s="442"/>
      <c r="W183" s="360"/>
      <c r="X183" s="360"/>
      <c r="Y183" s="360"/>
      <c r="Z183" s="360"/>
      <c r="AA183" s="360"/>
      <c r="AB183" s="360"/>
      <c r="AC183" s="360"/>
      <c r="AD183" s="360"/>
      <c r="AE183" s="360"/>
      <c r="AF183" s="360"/>
      <c r="AG183" s="360"/>
      <c r="AH183" s="360"/>
      <c r="AI183" s="360"/>
      <c r="AJ183" s="360"/>
      <c r="AK183" s="360"/>
      <c r="AL183" s="360"/>
      <c r="AM183" s="360"/>
      <c r="AN183" s="360"/>
      <c r="AO183" s="360"/>
    </row>
    <row r="184" spans="1:41" s="441" customFormat="1" x14ac:dyDescent="0.2">
      <c r="A184" s="439"/>
      <c r="B184" s="360"/>
      <c r="C184" s="360"/>
      <c r="D184" s="360"/>
      <c r="E184" s="360"/>
      <c r="F184" s="360"/>
      <c r="G184" s="360"/>
      <c r="H184" s="360"/>
      <c r="I184" s="440"/>
      <c r="J184" s="180"/>
      <c r="K184" s="447"/>
      <c r="L184" s="2082"/>
      <c r="N184" s="440"/>
      <c r="O184" s="443"/>
      <c r="P184" s="444"/>
      <c r="Q184" s="442"/>
      <c r="R184" s="442"/>
      <c r="S184" s="442"/>
      <c r="T184" s="453"/>
      <c r="U184" s="446"/>
      <c r="V184" s="442"/>
      <c r="W184" s="360"/>
      <c r="X184" s="360"/>
      <c r="Y184" s="360"/>
      <c r="Z184" s="360"/>
      <c r="AA184" s="360"/>
      <c r="AB184" s="360"/>
      <c r="AC184" s="360"/>
      <c r="AD184" s="360"/>
      <c r="AE184" s="360"/>
      <c r="AF184" s="360"/>
      <c r="AG184" s="360"/>
      <c r="AH184" s="360"/>
      <c r="AI184" s="360"/>
      <c r="AJ184" s="360"/>
      <c r="AK184" s="360"/>
      <c r="AL184" s="360"/>
      <c r="AM184" s="360"/>
      <c r="AN184" s="360"/>
      <c r="AO184" s="360"/>
    </row>
    <row r="185" spans="1:41" s="441" customFormat="1" x14ac:dyDescent="0.2">
      <c r="A185" s="439"/>
      <c r="B185" s="360"/>
      <c r="C185" s="360"/>
      <c r="D185" s="360"/>
      <c r="E185" s="360"/>
      <c r="F185" s="360"/>
      <c r="G185" s="360"/>
      <c r="H185" s="360"/>
      <c r="I185" s="440"/>
      <c r="J185" s="180"/>
      <c r="K185" s="447"/>
      <c r="L185" s="2082"/>
      <c r="N185" s="440"/>
      <c r="O185" s="443"/>
      <c r="P185" s="444"/>
      <c r="Q185" s="442"/>
      <c r="R185" s="442"/>
      <c r="S185" s="442"/>
      <c r="T185" s="453"/>
      <c r="U185" s="446"/>
      <c r="V185" s="442"/>
      <c r="W185" s="360"/>
      <c r="X185" s="360"/>
      <c r="Y185" s="360"/>
      <c r="Z185" s="360"/>
      <c r="AA185" s="360"/>
      <c r="AB185" s="360"/>
      <c r="AC185" s="360"/>
      <c r="AD185" s="360"/>
      <c r="AE185" s="360"/>
      <c r="AF185" s="360"/>
      <c r="AG185" s="360"/>
      <c r="AH185" s="360"/>
      <c r="AI185" s="360"/>
      <c r="AJ185" s="360"/>
      <c r="AK185" s="360"/>
      <c r="AL185" s="360"/>
      <c r="AM185" s="360"/>
      <c r="AN185" s="360"/>
      <c r="AO185" s="360"/>
    </row>
    <row r="186" spans="1:41" s="441" customFormat="1" x14ac:dyDescent="0.2">
      <c r="A186" s="439"/>
      <c r="B186" s="360"/>
      <c r="C186" s="360"/>
      <c r="D186" s="360"/>
      <c r="E186" s="360"/>
      <c r="F186" s="360"/>
      <c r="G186" s="360"/>
      <c r="H186" s="360"/>
      <c r="I186" s="440"/>
      <c r="J186" s="180"/>
      <c r="K186" s="447"/>
      <c r="L186" s="2082"/>
      <c r="N186" s="440"/>
      <c r="O186" s="443"/>
      <c r="P186" s="444"/>
      <c r="Q186" s="442"/>
      <c r="R186" s="442"/>
      <c r="S186" s="442"/>
      <c r="T186" s="453"/>
      <c r="U186" s="446"/>
      <c r="V186" s="442"/>
      <c r="W186" s="360"/>
      <c r="X186" s="360"/>
      <c r="Y186" s="360"/>
      <c r="Z186" s="360"/>
      <c r="AA186" s="360"/>
      <c r="AB186" s="360"/>
      <c r="AC186" s="360"/>
      <c r="AD186" s="360"/>
      <c r="AE186" s="360"/>
      <c r="AF186" s="360"/>
      <c r="AG186" s="360"/>
      <c r="AH186" s="360"/>
      <c r="AI186" s="360"/>
      <c r="AJ186" s="360"/>
      <c r="AK186" s="360"/>
      <c r="AL186" s="360"/>
      <c r="AM186" s="360"/>
      <c r="AN186" s="360"/>
      <c r="AO186" s="360"/>
    </row>
    <row r="187" spans="1:41" s="441" customFormat="1" x14ac:dyDescent="0.2">
      <c r="A187" s="439"/>
      <c r="B187" s="360"/>
      <c r="C187" s="360"/>
      <c r="D187" s="360"/>
      <c r="E187" s="360"/>
      <c r="F187" s="360"/>
      <c r="G187" s="360"/>
      <c r="H187" s="360"/>
      <c r="I187" s="440"/>
      <c r="J187" s="180"/>
      <c r="K187" s="447"/>
      <c r="L187" s="2082"/>
      <c r="N187" s="440"/>
      <c r="O187" s="443"/>
      <c r="P187" s="444"/>
      <c r="Q187" s="442"/>
      <c r="R187" s="442"/>
      <c r="S187" s="442"/>
      <c r="T187" s="453"/>
      <c r="U187" s="446"/>
      <c r="V187" s="442"/>
      <c r="W187" s="360"/>
      <c r="X187" s="360"/>
      <c r="Y187" s="360"/>
      <c r="Z187" s="360"/>
      <c r="AA187" s="360"/>
      <c r="AB187" s="360"/>
      <c r="AC187" s="360"/>
      <c r="AD187" s="360"/>
      <c r="AE187" s="360"/>
      <c r="AF187" s="360"/>
      <c r="AG187" s="360"/>
      <c r="AH187" s="360"/>
      <c r="AI187" s="360"/>
      <c r="AJ187" s="360"/>
      <c r="AK187" s="360"/>
      <c r="AL187" s="360"/>
      <c r="AM187" s="360"/>
      <c r="AN187" s="360"/>
      <c r="AO187" s="360"/>
    </row>
    <row r="188" spans="1:41" s="441" customFormat="1" x14ac:dyDescent="0.2">
      <c r="A188" s="439"/>
      <c r="B188" s="360"/>
      <c r="C188" s="360"/>
      <c r="D188" s="360"/>
      <c r="E188" s="360"/>
      <c r="F188" s="360"/>
      <c r="G188" s="360"/>
      <c r="H188" s="360"/>
      <c r="I188" s="440"/>
      <c r="J188" s="180"/>
      <c r="K188" s="447"/>
      <c r="L188" s="2082"/>
      <c r="N188" s="440"/>
      <c r="O188" s="443"/>
      <c r="P188" s="444"/>
      <c r="Q188" s="442"/>
      <c r="R188" s="442"/>
      <c r="S188" s="442"/>
      <c r="T188" s="453"/>
      <c r="U188" s="446"/>
      <c r="V188" s="442"/>
      <c r="W188" s="360"/>
      <c r="X188" s="360"/>
      <c r="Y188" s="360"/>
      <c r="Z188" s="360"/>
      <c r="AA188" s="360"/>
      <c r="AB188" s="360"/>
      <c r="AC188" s="360"/>
      <c r="AD188" s="360"/>
      <c r="AE188" s="360"/>
      <c r="AF188" s="360"/>
      <c r="AG188" s="360"/>
      <c r="AH188" s="360"/>
      <c r="AI188" s="360"/>
      <c r="AJ188" s="360"/>
      <c r="AK188" s="360"/>
      <c r="AL188" s="360"/>
      <c r="AM188" s="360"/>
      <c r="AN188" s="360"/>
      <c r="AO188" s="360"/>
    </row>
    <row r="189" spans="1:41" s="441" customFormat="1" x14ac:dyDescent="0.2">
      <c r="A189" s="439"/>
      <c r="B189" s="360"/>
      <c r="C189" s="360"/>
      <c r="D189" s="360"/>
      <c r="E189" s="360"/>
      <c r="F189" s="360"/>
      <c r="G189" s="360"/>
      <c r="H189" s="360"/>
      <c r="I189" s="440"/>
      <c r="J189" s="180"/>
      <c r="K189" s="447"/>
      <c r="L189" s="2082"/>
      <c r="N189" s="440"/>
      <c r="O189" s="443"/>
      <c r="P189" s="444"/>
      <c r="Q189" s="442"/>
      <c r="R189" s="442"/>
      <c r="S189" s="442"/>
      <c r="T189" s="453"/>
      <c r="U189" s="446"/>
      <c r="V189" s="442"/>
      <c r="W189" s="360"/>
      <c r="X189" s="360"/>
      <c r="Y189" s="360"/>
      <c r="Z189" s="360"/>
      <c r="AA189" s="360"/>
      <c r="AB189" s="360"/>
      <c r="AC189" s="360"/>
      <c r="AD189" s="360"/>
      <c r="AE189" s="360"/>
      <c r="AF189" s="360"/>
      <c r="AG189" s="360"/>
      <c r="AH189" s="360"/>
      <c r="AI189" s="360"/>
      <c r="AJ189" s="360"/>
      <c r="AK189" s="360"/>
      <c r="AL189" s="360"/>
      <c r="AM189" s="360"/>
      <c r="AN189" s="360"/>
      <c r="AO189" s="360"/>
    </row>
    <row r="190" spans="1:41" s="441" customFormat="1" x14ac:dyDescent="0.2">
      <c r="A190" s="439"/>
      <c r="B190" s="360"/>
      <c r="C190" s="360"/>
      <c r="D190" s="360"/>
      <c r="E190" s="360"/>
      <c r="F190" s="360"/>
      <c r="G190" s="360"/>
      <c r="H190" s="360"/>
      <c r="I190" s="440"/>
      <c r="J190" s="180"/>
      <c r="K190" s="447"/>
      <c r="L190" s="2082"/>
      <c r="N190" s="440"/>
      <c r="O190" s="443"/>
      <c r="P190" s="444"/>
      <c r="Q190" s="442"/>
      <c r="R190" s="442"/>
      <c r="S190" s="442"/>
      <c r="T190" s="453"/>
      <c r="U190" s="446"/>
      <c r="V190" s="442"/>
      <c r="W190" s="360"/>
      <c r="X190" s="360"/>
      <c r="Y190" s="360"/>
      <c r="Z190" s="360"/>
      <c r="AA190" s="360"/>
      <c r="AB190" s="360"/>
      <c r="AC190" s="360"/>
      <c r="AD190" s="360"/>
      <c r="AE190" s="360"/>
      <c r="AF190" s="360"/>
      <c r="AG190" s="360"/>
      <c r="AH190" s="360"/>
      <c r="AI190" s="360"/>
      <c r="AJ190" s="360"/>
      <c r="AK190" s="360"/>
      <c r="AL190" s="360"/>
      <c r="AM190" s="360"/>
      <c r="AN190" s="360"/>
      <c r="AO190" s="360"/>
    </row>
    <row r="191" spans="1:41" s="441" customFormat="1" x14ac:dyDescent="0.2">
      <c r="A191" s="439"/>
      <c r="B191" s="360"/>
      <c r="C191" s="360"/>
      <c r="D191" s="360"/>
      <c r="E191" s="360"/>
      <c r="F191" s="360"/>
      <c r="G191" s="360"/>
      <c r="H191" s="360"/>
      <c r="I191" s="440"/>
      <c r="J191" s="180"/>
      <c r="K191" s="447"/>
      <c r="L191" s="2082"/>
      <c r="N191" s="440"/>
      <c r="O191" s="443"/>
      <c r="P191" s="444"/>
      <c r="Q191" s="442"/>
      <c r="R191" s="442"/>
      <c r="S191" s="442"/>
      <c r="T191" s="453"/>
      <c r="U191" s="446"/>
      <c r="V191" s="442"/>
      <c r="W191" s="360"/>
      <c r="X191" s="360"/>
      <c r="Y191" s="360"/>
      <c r="Z191" s="360"/>
      <c r="AA191" s="360"/>
      <c r="AB191" s="360"/>
      <c r="AC191" s="360"/>
      <c r="AD191" s="360"/>
      <c r="AE191" s="360"/>
      <c r="AF191" s="360"/>
      <c r="AG191" s="360"/>
      <c r="AH191" s="360"/>
      <c r="AI191" s="360"/>
      <c r="AJ191" s="360"/>
      <c r="AK191" s="360"/>
      <c r="AL191" s="360"/>
      <c r="AM191" s="360"/>
      <c r="AN191" s="360"/>
      <c r="AO191" s="360"/>
    </row>
    <row r="192" spans="1:41" s="441" customFormat="1" x14ac:dyDescent="0.2">
      <c r="A192" s="439"/>
      <c r="B192" s="360"/>
      <c r="C192" s="360"/>
      <c r="D192" s="360"/>
      <c r="E192" s="360"/>
      <c r="F192" s="360"/>
      <c r="G192" s="360"/>
      <c r="H192" s="360"/>
      <c r="I192" s="440"/>
      <c r="J192" s="180"/>
      <c r="K192" s="447"/>
      <c r="L192" s="2082"/>
      <c r="N192" s="440"/>
      <c r="O192" s="443"/>
      <c r="P192" s="444"/>
      <c r="Q192" s="442"/>
      <c r="R192" s="442"/>
      <c r="S192" s="442"/>
      <c r="T192" s="453"/>
      <c r="U192" s="446"/>
      <c r="V192" s="442"/>
      <c r="W192" s="360"/>
      <c r="X192" s="360"/>
      <c r="Y192" s="360"/>
      <c r="Z192" s="360"/>
      <c r="AA192" s="360"/>
      <c r="AB192" s="360"/>
      <c r="AC192" s="360"/>
      <c r="AD192" s="360"/>
      <c r="AE192" s="360"/>
      <c r="AF192" s="360"/>
      <c r="AG192" s="360"/>
      <c r="AH192" s="360"/>
      <c r="AI192" s="360"/>
      <c r="AJ192" s="360"/>
      <c r="AK192" s="360"/>
      <c r="AL192" s="360"/>
      <c r="AM192" s="360"/>
      <c r="AN192" s="360"/>
      <c r="AO192" s="360"/>
    </row>
    <row r="193" spans="1:41" s="441" customFormat="1" x14ac:dyDescent="0.2">
      <c r="A193" s="439"/>
      <c r="B193" s="360"/>
      <c r="C193" s="360"/>
      <c r="D193" s="360"/>
      <c r="E193" s="360"/>
      <c r="F193" s="360"/>
      <c r="G193" s="360"/>
      <c r="H193" s="360"/>
      <c r="I193" s="440"/>
      <c r="J193" s="180"/>
      <c r="K193" s="447"/>
      <c r="L193" s="2082"/>
      <c r="N193" s="440"/>
      <c r="O193" s="443"/>
      <c r="P193" s="444"/>
      <c r="Q193" s="442"/>
      <c r="R193" s="442"/>
      <c r="S193" s="442"/>
      <c r="T193" s="453"/>
      <c r="U193" s="446"/>
      <c r="V193" s="442"/>
      <c r="W193" s="360"/>
      <c r="X193" s="360"/>
      <c r="Y193" s="360"/>
      <c r="Z193" s="360"/>
      <c r="AA193" s="360"/>
      <c r="AB193" s="360"/>
      <c r="AC193" s="360"/>
      <c r="AD193" s="360"/>
      <c r="AE193" s="360"/>
      <c r="AF193" s="360"/>
      <c r="AG193" s="360"/>
      <c r="AH193" s="360"/>
      <c r="AI193" s="360"/>
      <c r="AJ193" s="360"/>
      <c r="AK193" s="360"/>
      <c r="AL193" s="360"/>
      <c r="AM193" s="360"/>
      <c r="AN193" s="360"/>
      <c r="AO193" s="360"/>
    </row>
    <row r="194" spans="1:41" s="441" customFormat="1" x14ac:dyDescent="0.2">
      <c r="A194" s="439"/>
      <c r="B194" s="360"/>
      <c r="C194" s="360"/>
      <c r="D194" s="360"/>
      <c r="E194" s="360"/>
      <c r="F194" s="360"/>
      <c r="G194" s="360"/>
      <c r="H194" s="360"/>
      <c r="I194" s="440"/>
      <c r="J194" s="180"/>
      <c r="K194" s="447"/>
      <c r="L194" s="2082"/>
      <c r="N194" s="440"/>
      <c r="O194" s="443"/>
      <c r="P194" s="444"/>
      <c r="Q194" s="442"/>
      <c r="R194" s="442"/>
      <c r="S194" s="442"/>
      <c r="T194" s="453"/>
      <c r="U194" s="446"/>
      <c r="V194" s="442"/>
      <c r="W194" s="360"/>
      <c r="X194" s="360"/>
      <c r="Y194" s="360"/>
      <c r="Z194" s="360"/>
      <c r="AA194" s="360"/>
      <c r="AB194" s="360"/>
      <c r="AC194" s="360"/>
      <c r="AD194" s="360"/>
      <c r="AE194" s="360"/>
      <c r="AF194" s="360"/>
      <c r="AG194" s="360"/>
      <c r="AH194" s="360"/>
      <c r="AI194" s="360"/>
      <c r="AJ194" s="360"/>
      <c r="AK194" s="360"/>
      <c r="AL194" s="360"/>
      <c r="AM194" s="360"/>
      <c r="AN194" s="360"/>
      <c r="AO194" s="360"/>
    </row>
    <row r="195" spans="1:41" s="441" customFormat="1" x14ac:dyDescent="0.2">
      <c r="A195" s="439"/>
      <c r="B195" s="360"/>
      <c r="C195" s="360"/>
      <c r="D195" s="360"/>
      <c r="E195" s="360"/>
      <c r="F195" s="360"/>
      <c r="G195" s="360"/>
      <c r="H195" s="360"/>
      <c r="I195" s="440"/>
      <c r="J195" s="180"/>
      <c r="K195" s="447"/>
      <c r="L195" s="2082"/>
      <c r="N195" s="440"/>
      <c r="O195" s="443"/>
      <c r="P195" s="444"/>
      <c r="Q195" s="442"/>
      <c r="R195" s="442"/>
      <c r="S195" s="442"/>
      <c r="T195" s="453"/>
      <c r="U195" s="446"/>
      <c r="V195" s="442"/>
      <c r="W195" s="360"/>
      <c r="X195" s="360"/>
      <c r="Y195" s="360"/>
      <c r="Z195" s="360"/>
      <c r="AA195" s="360"/>
      <c r="AB195" s="360"/>
      <c r="AC195" s="360"/>
      <c r="AD195" s="360"/>
      <c r="AE195" s="360"/>
      <c r="AF195" s="360"/>
      <c r="AG195" s="360"/>
      <c r="AH195" s="360"/>
      <c r="AI195" s="360"/>
      <c r="AJ195" s="360"/>
      <c r="AK195" s="360"/>
      <c r="AL195" s="360"/>
      <c r="AM195" s="360"/>
      <c r="AN195" s="360"/>
      <c r="AO195" s="360"/>
    </row>
    <row r="196" spans="1:41" s="441" customFormat="1" x14ac:dyDescent="0.2">
      <c r="A196" s="439"/>
      <c r="B196" s="360"/>
      <c r="C196" s="360"/>
      <c r="D196" s="360"/>
      <c r="E196" s="360"/>
      <c r="F196" s="360"/>
      <c r="G196" s="360"/>
      <c r="H196" s="360"/>
      <c r="I196" s="440"/>
      <c r="J196" s="180"/>
      <c r="K196" s="447"/>
      <c r="L196" s="2082"/>
      <c r="N196" s="440"/>
      <c r="O196" s="443"/>
      <c r="P196" s="444"/>
      <c r="Q196" s="442"/>
      <c r="R196" s="442"/>
      <c r="S196" s="442"/>
      <c r="T196" s="453"/>
      <c r="U196" s="446"/>
      <c r="V196" s="442"/>
      <c r="W196" s="360"/>
      <c r="X196" s="360"/>
      <c r="Y196" s="360"/>
      <c r="Z196" s="360"/>
      <c r="AA196" s="360"/>
      <c r="AB196" s="360"/>
      <c r="AC196" s="360"/>
      <c r="AD196" s="360"/>
      <c r="AE196" s="360"/>
      <c r="AF196" s="360"/>
      <c r="AG196" s="360"/>
      <c r="AH196" s="360"/>
      <c r="AI196" s="360"/>
      <c r="AJ196" s="360"/>
      <c r="AK196" s="360"/>
      <c r="AL196" s="360"/>
      <c r="AM196" s="360"/>
      <c r="AN196" s="360"/>
      <c r="AO196" s="360"/>
    </row>
    <row r="197" spans="1:41" s="441" customFormat="1" x14ac:dyDescent="0.2">
      <c r="A197" s="439"/>
      <c r="B197" s="360"/>
      <c r="C197" s="360"/>
      <c r="D197" s="360"/>
      <c r="E197" s="360"/>
      <c r="F197" s="360"/>
      <c r="G197" s="360"/>
      <c r="H197" s="360"/>
      <c r="I197" s="440"/>
      <c r="J197" s="180"/>
      <c r="K197" s="447"/>
      <c r="L197" s="2082"/>
      <c r="N197" s="440"/>
      <c r="O197" s="443"/>
      <c r="P197" s="444"/>
      <c r="Q197" s="442"/>
      <c r="R197" s="442"/>
      <c r="S197" s="442"/>
      <c r="T197" s="453"/>
      <c r="U197" s="446"/>
      <c r="V197" s="442"/>
      <c r="W197" s="360"/>
      <c r="X197" s="360"/>
      <c r="Y197" s="360"/>
      <c r="Z197" s="360"/>
      <c r="AA197" s="360"/>
      <c r="AB197" s="360"/>
      <c r="AC197" s="360"/>
      <c r="AD197" s="360"/>
      <c r="AE197" s="360"/>
      <c r="AF197" s="360"/>
      <c r="AG197" s="360"/>
      <c r="AH197" s="360"/>
      <c r="AI197" s="360"/>
      <c r="AJ197" s="360"/>
      <c r="AK197" s="360"/>
      <c r="AL197" s="360"/>
      <c r="AM197" s="360"/>
      <c r="AN197" s="360"/>
      <c r="AO197" s="360"/>
    </row>
    <row r="198" spans="1:41" s="441" customFormat="1" x14ac:dyDescent="0.2">
      <c r="A198" s="439"/>
      <c r="B198" s="360"/>
      <c r="C198" s="360"/>
      <c r="D198" s="360"/>
      <c r="E198" s="360"/>
      <c r="F198" s="360"/>
      <c r="G198" s="360"/>
      <c r="H198" s="360"/>
      <c r="I198" s="440"/>
      <c r="J198" s="180"/>
      <c r="K198" s="447"/>
      <c r="L198" s="2082"/>
      <c r="N198" s="440"/>
      <c r="O198" s="443"/>
      <c r="P198" s="444"/>
      <c r="Q198" s="442"/>
      <c r="R198" s="442"/>
      <c r="S198" s="442"/>
      <c r="T198" s="453"/>
      <c r="U198" s="446"/>
      <c r="V198" s="442"/>
      <c r="W198" s="360"/>
      <c r="X198" s="360"/>
      <c r="Y198" s="360"/>
      <c r="Z198" s="360"/>
      <c r="AA198" s="360"/>
      <c r="AB198" s="360"/>
      <c r="AC198" s="360"/>
      <c r="AD198" s="360"/>
      <c r="AE198" s="360"/>
      <c r="AF198" s="360"/>
      <c r="AG198" s="360"/>
      <c r="AH198" s="360"/>
      <c r="AI198" s="360"/>
      <c r="AJ198" s="360"/>
      <c r="AK198" s="360"/>
      <c r="AL198" s="360"/>
      <c r="AM198" s="360"/>
      <c r="AN198" s="360"/>
      <c r="AO198" s="360"/>
    </row>
    <row r="199" spans="1:41" s="441" customFormat="1" x14ac:dyDescent="0.2">
      <c r="A199" s="439"/>
      <c r="B199" s="360"/>
      <c r="C199" s="360"/>
      <c r="D199" s="360"/>
      <c r="E199" s="360"/>
      <c r="F199" s="360"/>
      <c r="G199" s="360"/>
      <c r="H199" s="360"/>
      <c r="I199" s="440"/>
      <c r="J199" s="180"/>
      <c r="K199" s="447"/>
      <c r="L199" s="2082"/>
      <c r="N199" s="440"/>
      <c r="O199" s="443"/>
      <c r="P199" s="444"/>
      <c r="Q199" s="442"/>
      <c r="R199" s="442"/>
      <c r="S199" s="442"/>
      <c r="T199" s="453"/>
      <c r="U199" s="446"/>
      <c r="V199" s="442"/>
      <c r="W199" s="360"/>
      <c r="X199" s="360"/>
      <c r="Y199" s="360"/>
      <c r="Z199" s="360"/>
      <c r="AA199" s="360"/>
      <c r="AB199" s="360"/>
      <c r="AC199" s="360"/>
      <c r="AD199" s="360"/>
      <c r="AE199" s="360"/>
      <c r="AF199" s="360"/>
      <c r="AG199" s="360"/>
      <c r="AH199" s="360"/>
      <c r="AI199" s="360"/>
      <c r="AJ199" s="360"/>
      <c r="AK199" s="360"/>
      <c r="AL199" s="360"/>
      <c r="AM199" s="360"/>
      <c r="AN199" s="360"/>
      <c r="AO199" s="360"/>
    </row>
    <row r="200" spans="1:41" s="441" customFormat="1" x14ac:dyDescent="0.2">
      <c r="A200" s="439"/>
      <c r="B200" s="360"/>
      <c r="C200" s="360"/>
      <c r="D200" s="360"/>
      <c r="E200" s="360"/>
      <c r="F200" s="360"/>
      <c r="G200" s="360"/>
      <c r="H200" s="360"/>
      <c r="I200" s="440"/>
      <c r="J200" s="180"/>
      <c r="K200" s="447"/>
      <c r="L200" s="2082"/>
      <c r="N200" s="440"/>
      <c r="O200" s="443"/>
      <c r="P200" s="444"/>
      <c r="Q200" s="442"/>
      <c r="R200" s="442"/>
      <c r="S200" s="442"/>
      <c r="T200" s="453"/>
      <c r="U200" s="446"/>
      <c r="V200" s="442"/>
      <c r="W200" s="360"/>
      <c r="X200" s="360"/>
      <c r="Y200" s="360"/>
      <c r="Z200" s="360"/>
      <c r="AA200" s="360"/>
      <c r="AB200" s="360"/>
      <c r="AC200" s="360"/>
      <c r="AD200" s="360"/>
      <c r="AE200" s="360"/>
      <c r="AF200" s="360"/>
      <c r="AG200" s="360"/>
      <c r="AH200" s="360"/>
      <c r="AI200" s="360"/>
      <c r="AJ200" s="360"/>
      <c r="AK200" s="360"/>
      <c r="AL200" s="360"/>
      <c r="AM200" s="360"/>
      <c r="AN200" s="360"/>
      <c r="AO200" s="360"/>
    </row>
    <row r="201" spans="1:41" s="441" customFormat="1" x14ac:dyDescent="0.2">
      <c r="A201" s="439"/>
      <c r="B201" s="360"/>
      <c r="C201" s="360"/>
      <c r="D201" s="360"/>
      <c r="E201" s="360"/>
      <c r="F201" s="360"/>
      <c r="G201" s="360"/>
      <c r="H201" s="360"/>
      <c r="I201" s="440"/>
      <c r="J201" s="180"/>
      <c r="K201" s="447"/>
      <c r="L201" s="2082"/>
      <c r="N201" s="440"/>
      <c r="O201" s="443"/>
      <c r="P201" s="444"/>
      <c r="Q201" s="442"/>
      <c r="R201" s="442"/>
      <c r="S201" s="442"/>
      <c r="T201" s="453"/>
      <c r="U201" s="446"/>
      <c r="V201" s="442"/>
      <c r="W201" s="360"/>
      <c r="X201" s="360"/>
      <c r="Y201" s="360"/>
      <c r="Z201" s="360"/>
      <c r="AA201" s="360"/>
      <c r="AB201" s="360"/>
      <c r="AC201" s="360"/>
      <c r="AD201" s="360"/>
      <c r="AE201" s="360"/>
      <c r="AF201" s="360"/>
      <c r="AG201" s="360"/>
      <c r="AH201" s="360"/>
      <c r="AI201" s="360"/>
      <c r="AJ201" s="360"/>
      <c r="AK201" s="360"/>
      <c r="AL201" s="360"/>
      <c r="AM201" s="360"/>
      <c r="AN201" s="360"/>
      <c r="AO201" s="360"/>
    </row>
    <row r="202" spans="1:41" s="441" customFormat="1" x14ac:dyDescent="0.2">
      <c r="A202" s="439"/>
      <c r="B202" s="360"/>
      <c r="C202" s="360"/>
      <c r="D202" s="360"/>
      <c r="E202" s="360"/>
      <c r="F202" s="360"/>
      <c r="G202" s="360"/>
      <c r="H202" s="360"/>
      <c r="I202" s="440"/>
      <c r="J202" s="180"/>
      <c r="K202" s="447"/>
      <c r="L202" s="2082"/>
      <c r="N202" s="440"/>
      <c r="O202" s="443"/>
      <c r="P202" s="444"/>
      <c r="Q202" s="442"/>
      <c r="R202" s="442"/>
      <c r="S202" s="442"/>
      <c r="T202" s="453"/>
      <c r="U202" s="446"/>
      <c r="V202" s="442"/>
      <c r="W202" s="360"/>
      <c r="X202" s="360"/>
      <c r="Y202" s="360"/>
      <c r="Z202" s="360"/>
      <c r="AA202" s="360"/>
      <c r="AB202" s="360"/>
      <c r="AC202" s="360"/>
      <c r="AD202" s="360"/>
      <c r="AE202" s="360"/>
      <c r="AF202" s="360"/>
      <c r="AG202" s="360"/>
      <c r="AH202" s="360"/>
      <c r="AI202" s="360"/>
      <c r="AJ202" s="360"/>
      <c r="AK202" s="360"/>
      <c r="AL202" s="360"/>
      <c r="AM202" s="360"/>
      <c r="AN202" s="360"/>
      <c r="AO202" s="360"/>
    </row>
    <row r="203" spans="1:41" s="441" customFormat="1" x14ac:dyDescent="0.2">
      <c r="A203" s="439"/>
      <c r="B203" s="360"/>
      <c r="C203" s="360"/>
      <c r="D203" s="360"/>
      <c r="E203" s="360"/>
      <c r="F203" s="360"/>
      <c r="G203" s="360"/>
      <c r="H203" s="360"/>
      <c r="I203" s="440"/>
      <c r="J203" s="180"/>
      <c r="K203" s="447"/>
      <c r="L203" s="2082"/>
      <c r="N203" s="440"/>
      <c r="O203" s="443"/>
      <c r="P203" s="444"/>
      <c r="Q203" s="442"/>
      <c r="R203" s="442"/>
      <c r="S203" s="442"/>
      <c r="T203" s="453"/>
      <c r="U203" s="446"/>
      <c r="V203" s="442"/>
      <c r="W203" s="360"/>
      <c r="X203" s="360"/>
      <c r="Y203" s="360"/>
      <c r="Z203" s="360"/>
      <c r="AA203" s="360"/>
      <c r="AB203" s="360"/>
      <c r="AC203" s="360"/>
      <c r="AD203" s="360"/>
      <c r="AE203" s="360"/>
      <c r="AF203" s="360"/>
      <c r="AG203" s="360"/>
      <c r="AH203" s="360"/>
      <c r="AI203" s="360"/>
      <c r="AJ203" s="360"/>
      <c r="AK203" s="360"/>
      <c r="AL203" s="360"/>
      <c r="AM203" s="360"/>
      <c r="AN203" s="360"/>
      <c r="AO203" s="360"/>
    </row>
    <row r="204" spans="1:41" s="441" customFormat="1" x14ac:dyDescent="0.2">
      <c r="A204" s="439"/>
      <c r="B204" s="360"/>
      <c r="C204" s="360"/>
      <c r="D204" s="360"/>
      <c r="E204" s="360"/>
      <c r="F204" s="360"/>
      <c r="G204" s="360"/>
      <c r="H204" s="360"/>
      <c r="I204" s="440"/>
      <c r="J204" s="180"/>
      <c r="K204" s="447"/>
      <c r="L204" s="2082"/>
      <c r="N204" s="440"/>
      <c r="O204" s="443"/>
      <c r="P204" s="444"/>
      <c r="Q204" s="442"/>
      <c r="R204" s="442"/>
      <c r="S204" s="442"/>
      <c r="T204" s="453"/>
      <c r="U204" s="446"/>
      <c r="V204" s="442"/>
      <c r="W204" s="360"/>
      <c r="X204" s="360"/>
      <c r="Y204" s="360"/>
      <c r="Z204" s="360"/>
      <c r="AA204" s="360"/>
      <c r="AB204" s="360"/>
      <c r="AC204" s="360"/>
      <c r="AD204" s="360"/>
      <c r="AE204" s="360"/>
      <c r="AF204" s="360"/>
      <c r="AG204" s="360"/>
      <c r="AH204" s="360"/>
      <c r="AI204" s="360"/>
      <c r="AJ204" s="360"/>
      <c r="AK204" s="360"/>
      <c r="AL204" s="360"/>
      <c r="AM204" s="360"/>
      <c r="AN204" s="360"/>
      <c r="AO204" s="360"/>
    </row>
    <row r="205" spans="1:41" s="441" customFormat="1" x14ac:dyDescent="0.2">
      <c r="A205" s="439"/>
      <c r="B205" s="360"/>
      <c r="C205" s="360"/>
      <c r="D205" s="360"/>
      <c r="E205" s="360"/>
      <c r="F205" s="360"/>
      <c r="G205" s="360"/>
      <c r="H205" s="360"/>
      <c r="I205" s="440"/>
      <c r="J205" s="180"/>
      <c r="K205" s="447"/>
      <c r="L205" s="2082"/>
      <c r="N205" s="440"/>
      <c r="O205" s="443"/>
      <c r="P205" s="444"/>
      <c r="Q205" s="442"/>
      <c r="R205" s="442"/>
      <c r="S205" s="442"/>
      <c r="T205" s="453"/>
      <c r="U205" s="446"/>
      <c r="V205" s="442"/>
      <c r="W205" s="360"/>
      <c r="X205" s="360"/>
      <c r="Y205" s="360"/>
      <c r="Z205" s="360"/>
      <c r="AA205" s="360"/>
      <c r="AB205" s="360"/>
      <c r="AC205" s="360"/>
      <c r="AD205" s="360"/>
      <c r="AE205" s="360"/>
      <c r="AF205" s="360"/>
      <c r="AG205" s="360"/>
      <c r="AH205" s="360"/>
      <c r="AI205" s="360"/>
      <c r="AJ205" s="360"/>
      <c r="AK205" s="360"/>
      <c r="AL205" s="360"/>
      <c r="AM205" s="360"/>
      <c r="AN205" s="360"/>
      <c r="AO205" s="360"/>
    </row>
    <row r="206" spans="1:41" s="441" customFormat="1" x14ac:dyDescent="0.2">
      <c r="A206" s="439"/>
      <c r="B206" s="360"/>
      <c r="C206" s="360"/>
      <c r="D206" s="360"/>
      <c r="E206" s="360"/>
      <c r="F206" s="360"/>
      <c r="G206" s="360"/>
      <c r="H206" s="360"/>
      <c r="I206" s="440"/>
      <c r="J206" s="180"/>
      <c r="K206" s="447"/>
      <c r="L206" s="2082"/>
      <c r="N206" s="440"/>
      <c r="O206" s="443"/>
      <c r="P206" s="444"/>
      <c r="Q206" s="442"/>
      <c r="R206" s="442"/>
      <c r="S206" s="442"/>
      <c r="T206" s="453"/>
      <c r="U206" s="446"/>
      <c r="V206" s="442"/>
      <c r="W206" s="360"/>
      <c r="X206" s="360"/>
      <c r="Y206" s="360"/>
      <c r="Z206" s="360"/>
      <c r="AA206" s="360"/>
      <c r="AB206" s="360"/>
      <c r="AC206" s="360"/>
      <c r="AD206" s="360"/>
      <c r="AE206" s="360"/>
      <c r="AF206" s="360"/>
      <c r="AG206" s="360"/>
      <c r="AH206" s="360"/>
      <c r="AI206" s="360"/>
      <c r="AJ206" s="360"/>
      <c r="AK206" s="360"/>
      <c r="AL206" s="360"/>
      <c r="AM206" s="360"/>
      <c r="AN206" s="360"/>
      <c r="AO206" s="360"/>
    </row>
    <row r="207" spans="1:41" s="441" customFormat="1" x14ac:dyDescent="0.2">
      <c r="A207" s="439"/>
      <c r="B207" s="360"/>
      <c r="C207" s="360"/>
      <c r="D207" s="360"/>
      <c r="E207" s="360"/>
      <c r="F207" s="360"/>
      <c r="G207" s="360"/>
      <c r="H207" s="360"/>
      <c r="I207" s="440"/>
      <c r="J207" s="180"/>
      <c r="K207" s="447"/>
      <c r="L207" s="2082"/>
      <c r="N207" s="440"/>
      <c r="O207" s="443"/>
      <c r="P207" s="444"/>
      <c r="Q207" s="442"/>
      <c r="R207" s="442"/>
      <c r="S207" s="442"/>
      <c r="T207" s="453"/>
      <c r="U207" s="446"/>
      <c r="V207" s="442"/>
      <c r="W207" s="360"/>
      <c r="X207" s="360"/>
      <c r="Y207" s="360"/>
      <c r="Z207" s="360"/>
      <c r="AA207" s="360"/>
      <c r="AB207" s="360"/>
      <c r="AC207" s="360"/>
      <c r="AD207" s="360"/>
      <c r="AE207" s="360"/>
      <c r="AF207" s="360"/>
      <c r="AG207" s="360"/>
      <c r="AH207" s="360"/>
      <c r="AI207" s="360"/>
      <c r="AJ207" s="360"/>
      <c r="AK207" s="360"/>
      <c r="AL207" s="360"/>
      <c r="AM207" s="360"/>
      <c r="AN207" s="360"/>
      <c r="AO207" s="360"/>
    </row>
    <row r="208" spans="1:41" s="441" customFormat="1" x14ac:dyDescent="0.2">
      <c r="A208" s="439"/>
      <c r="B208" s="360"/>
      <c r="C208" s="360"/>
      <c r="D208" s="360"/>
      <c r="E208" s="360"/>
      <c r="F208" s="360"/>
      <c r="G208" s="360"/>
      <c r="H208" s="360"/>
      <c r="I208" s="440"/>
      <c r="J208" s="180"/>
      <c r="K208" s="447"/>
      <c r="L208" s="2082"/>
      <c r="N208" s="440"/>
      <c r="O208" s="443"/>
      <c r="P208" s="444"/>
      <c r="Q208" s="442"/>
      <c r="R208" s="442"/>
      <c r="S208" s="442"/>
      <c r="T208" s="453"/>
      <c r="U208" s="446"/>
      <c r="V208" s="442"/>
      <c r="W208" s="360"/>
      <c r="X208" s="360"/>
      <c r="Y208" s="360"/>
      <c r="Z208" s="360"/>
      <c r="AA208" s="360"/>
      <c r="AB208" s="360"/>
      <c r="AC208" s="360"/>
      <c r="AD208" s="360"/>
      <c r="AE208" s="360"/>
      <c r="AF208" s="360"/>
      <c r="AG208" s="360"/>
      <c r="AH208" s="360"/>
      <c r="AI208" s="360"/>
      <c r="AJ208" s="360"/>
      <c r="AK208" s="360"/>
      <c r="AL208" s="360"/>
      <c r="AM208" s="360"/>
      <c r="AN208" s="360"/>
      <c r="AO208" s="360"/>
    </row>
    <row r="209" spans="1:41" s="441" customFormat="1" x14ac:dyDescent="0.2">
      <c r="A209" s="439"/>
      <c r="B209" s="360"/>
      <c r="C209" s="360"/>
      <c r="D209" s="360"/>
      <c r="E209" s="360"/>
      <c r="F209" s="360"/>
      <c r="G209" s="360"/>
      <c r="H209" s="360"/>
      <c r="I209" s="440"/>
      <c r="J209" s="180"/>
      <c r="K209" s="447"/>
      <c r="L209" s="2082"/>
      <c r="N209" s="440"/>
      <c r="O209" s="443"/>
      <c r="P209" s="444"/>
      <c r="Q209" s="442"/>
      <c r="R209" s="442"/>
      <c r="S209" s="442"/>
      <c r="T209" s="453"/>
      <c r="U209" s="446"/>
      <c r="V209" s="442"/>
      <c r="W209" s="360"/>
      <c r="X209" s="360"/>
      <c r="Y209" s="360"/>
      <c r="Z209" s="360"/>
      <c r="AA209" s="360"/>
      <c r="AB209" s="360"/>
      <c r="AC209" s="360"/>
      <c r="AD209" s="360"/>
      <c r="AE209" s="360"/>
      <c r="AF209" s="360"/>
      <c r="AG209" s="360"/>
      <c r="AH209" s="360"/>
      <c r="AI209" s="360"/>
      <c r="AJ209" s="360"/>
      <c r="AK209" s="360"/>
      <c r="AL209" s="360"/>
      <c r="AM209" s="360"/>
      <c r="AN209" s="360"/>
      <c r="AO209" s="360"/>
    </row>
    <row r="210" spans="1:41" s="441" customFormat="1" x14ac:dyDescent="0.2">
      <c r="A210" s="439"/>
      <c r="B210" s="360"/>
      <c r="C210" s="360"/>
      <c r="D210" s="360"/>
      <c r="E210" s="360"/>
      <c r="F210" s="360"/>
      <c r="G210" s="360"/>
      <c r="H210" s="360"/>
      <c r="I210" s="440"/>
      <c r="J210" s="180"/>
      <c r="K210" s="447"/>
      <c r="L210" s="2082"/>
      <c r="N210" s="440"/>
      <c r="O210" s="443"/>
      <c r="P210" s="444"/>
      <c r="Q210" s="442"/>
      <c r="R210" s="442"/>
      <c r="S210" s="442"/>
      <c r="T210" s="453"/>
      <c r="U210" s="446"/>
      <c r="V210" s="442"/>
      <c r="W210" s="360"/>
      <c r="X210" s="360"/>
      <c r="Y210" s="360"/>
      <c r="Z210" s="360"/>
      <c r="AA210" s="360"/>
      <c r="AB210" s="360"/>
      <c r="AC210" s="360"/>
      <c r="AD210" s="360"/>
      <c r="AE210" s="360"/>
      <c r="AF210" s="360"/>
      <c r="AG210" s="360"/>
      <c r="AH210" s="360"/>
      <c r="AI210" s="360"/>
      <c r="AJ210" s="360"/>
      <c r="AK210" s="360"/>
      <c r="AL210" s="360"/>
      <c r="AM210" s="360"/>
      <c r="AN210" s="360"/>
      <c r="AO210" s="360"/>
    </row>
    <row r="211" spans="1:41" s="441" customFormat="1" x14ac:dyDescent="0.2">
      <c r="A211" s="439"/>
      <c r="B211" s="360"/>
      <c r="C211" s="360"/>
      <c r="D211" s="360"/>
      <c r="E211" s="360"/>
      <c r="F211" s="360"/>
      <c r="G211" s="360"/>
      <c r="H211" s="360"/>
      <c r="I211" s="440"/>
      <c r="J211" s="180"/>
      <c r="K211" s="447"/>
      <c r="L211" s="2082"/>
      <c r="N211" s="440"/>
      <c r="O211" s="443"/>
      <c r="P211" s="444"/>
      <c r="Q211" s="442"/>
      <c r="R211" s="442"/>
      <c r="S211" s="442"/>
      <c r="T211" s="453"/>
      <c r="U211" s="446"/>
      <c r="V211" s="442"/>
      <c r="W211" s="360"/>
      <c r="X211" s="360"/>
      <c r="Y211" s="360"/>
      <c r="Z211" s="360"/>
      <c r="AA211" s="360"/>
      <c r="AB211" s="360"/>
      <c r="AC211" s="360"/>
      <c r="AD211" s="360"/>
      <c r="AE211" s="360"/>
      <c r="AF211" s="360"/>
      <c r="AG211" s="360"/>
      <c r="AH211" s="360"/>
      <c r="AI211" s="360"/>
      <c r="AJ211" s="360"/>
      <c r="AK211" s="360"/>
      <c r="AL211" s="360"/>
      <c r="AM211" s="360"/>
      <c r="AN211" s="360"/>
      <c r="AO211" s="360"/>
    </row>
    <row r="212" spans="1:41" s="441" customFormat="1" x14ac:dyDescent="0.2">
      <c r="A212" s="439"/>
      <c r="B212" s="360"/>
      <c r="C212" s="360"/>
      <c r="D212" s="360"/>
      <c r="E212" s="360"/>
      <c r="F212" s="360"/>
      <c r="G212" s="360"/>
      <c r="H212" s="360"/>
      <c r="I212" s="440"/>
      <c r="J212" s="180"/>
      <c r="K212" s="447"/>
      <c r="L212" s="2082"/>
      <c r="N212" s="440"/>
      <c r="O212" s="443"/>
      <c r="P212" s="444"/>
      <c r="Q212" s="442"/>
      <c r="R212" s="442"/>
      <c r="S212" s="442"/>
      <c r="T212" s="453"/>
      <c r="U212" s="446"/>
      <c r="V212" s="442"/>
      <c r="W212" s="360"/>
      <c r="X212" s="360"/>
      <c r="Y212" s="360"/>
      <c r="Z212" s="360"/>
      <c r="AA212" s="360"/>
      <c r="AB212" s="360"/>
      <c r="AC212" s="360"/>
      <c r="AD212" s="360"/>
      <c r="AE212" s="360"/>
      <c r="AF212" s="360"/>
      <c r="AG212" s="360"/>
      <c r="AH212" s="360"/>
      <c r="AI212" s="360"/>
      <c r="AJ212" s="360"/>
      <c r="AK212" s="360"/>
      <c r="AL212" s="360"/>
      <c r="AM212" s="360"/>
      <c r="AN212" s="360"/>
      <c r="AO212" s="360"/>
    </row>
    <row r="213" spans="1:41" s="441" customFormat="1" x14ac:dyDescent="0.2">
      <c r="A213" s="439"/>
      <c r="B213" s="360"/>
      <c r="C213" s="360"/>
      <c r="D213" s="360"/>
      <c r="E213" s="360"/>
      <c r="F213" s="360"/>
      <c r="G213" s="360"/>
      <c r="H213" s="360"/>
      <c r="I213" s="440"/>
      <c r="J213" s="180"/>
      <c r="K213" s="447"/>
      <c r="L213" s="2082"/>
      <c r="N213" s="440"/>
      <c r="O213" s="443"/>
      <c r="P213" s="444"/>
      <c r="Q213" s="442"/>
      <c r="R213" s="442"/>
      <c r="S213" s="442"/>
      <c r="T213" s="453"/>
      <c r="U213" s="446"/>
      <c r="V213" s="442"/>
      <c r="W213" s="360"/>
      <c r="X213" s="360"/>
      <c r="Y213" s="360"/>
      <c r="Z213" s="360"/>
      <c r="AA213" s="360"/>
      <c r="AB213" s="360"/>
      <c r="AC213" s="360"/>
      <c r="AD213" s="360"/>
      <c r="AE213" s="360"/>
      <c r="AF213" s="360"/>
      <c r="AG213" s="360"/>
      <c r="AH213" s="360"/>
      <c r="AI213" s="360"/>
      <c r="AJ213" s="360"/>
      <c r="AK213" s="360"/>
      <c r="AL213" s="360"/>
      <c r="AM213" s="360"/>
      <c r="AN213" s="360"/>
      <c r="AO213" s="360"/>
    </row>
    <row r="214" spans="1:41" s="441" customFormat="1" x14ac:dyDescent="0.2">
      <c r="A214" s="439"/>
      <c r="B214" s="360"/>
      <c r="C214" s="360"/>
      <c r="D214" s="360"/>
      <c r="E214" s="360"/>
      <c r="F214" s="360"/>
      <c r="G214" s="360"/>
      <c r="H214" s="360"/>
      <c r="I214" s="440"/>
      <c r="J214" s="180"/>
      <c r="K214" s="447"/>
      <c r="L214" s="2082"/>
      <c r="N214" s="440"/>
      <c r="O214" s="443"/>
      <c r="P214" s="444"/>
      <c r="Q214" s="442"/>
      <c r="R214" s="442"/>
      <c r="S214" s="442"/>
      <c r="T214" s="453"/>
      <c r="U214" s="446"/>
      <c r="V214" s="442"/>
      <c r="W214" s="360"/>
      <c r="X214" s="360"/>
      <c r="Y214" s="360"/>
      <c r="Z214" s="360"/>
      <c r="AA214" s="360"/>
      <c r="AB214" s="360"/>
      <c r="AC214" s="360"/>
      <c r="AD214" s="360"/>
      <c r="AE214" s="360"/>
      <c r="AF214" s="360"/>
      <c r="AG214" s="360"/>
      <c r="AH214" s="360"/>
      <c r="AI214" s="360"/>
      <c r="AJ214" s="360"/>
      <c r="AK214" s="360"/>
      <c r="AL214" s="360"/>
      <c r="AM214" s="360"/>
      <c r="AN214" s="360"/>
      <c r="AO214" s="360"/>
    </row>
    <row r="215" spans="1:41" s="441" customFormat="1" x14ac:dyDescent="0.2">
      <c r="A215" s="439"/>
      <c r="B215" s="360"/>
      <c r="C215" s="360"/>
      <c r="D215" s="360"/>
      <c r="E215" s="360"/>
      <c r="F215" s="360"/>
      <c r="G215" s="360"/>
      <c r="H215" s="360"/>
      <c r="I215" s="440"/>
      <c r="J215" s="180"/>
      <c r="K215" s="447"/>
      <c r="L215" s="2082"/>
      <c r="N215" s="440"/>
      <c r="O215" s="443"/>
      <c r="P215" s="444"/>
      <c r="Q215" s="442"/>
      <c r="R215" s="442"/>
      <c r="S215" s="442"/>
      <c r="T215" s="453"/>
      <c r="U215" s="446"/>
      <c r="V215" s="442"/>
      <c r="W215" s="360"/>
      <c r="X215" s="360"/>
      <c r="Y215" s="360"/>
      <c r="Z215" s="360"/>
      <c r="AA215" s="360"/>
      <c r="AB215" s="360"/>
      <c r="AC215" s="360"/>
      <c r="AD215" s="360"/>
      <c r="AE215" s="360"/>
      <c r="AF215" s="360"/>
      <c r="AG215" s="360"/>
      <c r="AH215" s="360"/>
      <c r="AI215" s="360"/>
      <c r="AJ215" s="360"/>
      <c r="AK215" s="360"/>
      <c r="AL215" s="360"/>
      <c r="AM215" s="360"/>
      <c r="AN215" s="360"/>
      <c r="AO215" s="360"/>
    </row>
    <row r="216" spans="1:41" s="441" customFormat="1" x14ac:dyDescent="0.2">
      <c r="A216" s="439"/>
      <c r="B216" s="360"/>
      <c r="C216" s="360"/>
      <c r="D216" s="360"/>
      <c r="E216" s="360"/>
      <c r="F216" s="360"/>
      <c r="G216" s="360"/>
      <c r="H216" s="360"/>
      <c r="I216" s="440"/>
      <c r="J216" s="180"/>
      <c r="K216" s="447"/>
      <c r="L216" s="2082"/>
      <c r="N216" s="440"/>
      <c r="O216" s="443"/>
      <c r="P216" s="444"/>
      <c r="Q216" s="442"/>
      <c r="R216" s="442"/>
      <c r="S216" s="442"/>
      <c r="T216" s="453"/>
      <c r="U216" s="446"/>
      <c r="V216" s="442"/>
      <c r="W216" s="360"/>
      <c r="X216" s="360"/>
      <c r="Y216" s="360"/>
      <c r="Z216" s="360"/>
      <c r="AA216" s="360"/>
      <c r="AB216" s="360"/>
      <c r="AC216" s="360"/>
      <c r="AD216" s="360"/>
      <c r="AE216" s="360"/>
      <c r="AF216" s="360"/>
      <c r="AG216" s="360"/>
      <c r="AH216" s="360"/>
      <c r="AI216" s="360"/>
      <c r="AJ216" s="360"/>
      <c r="AK216" s="360"/>
      <c r="AL216" s="360"/>
      <c r="AM216" s="360"/>
      <c r="AN216" s="360"/>
      <c r="AO216" s="360"/>
    </row>
    <row r="217" spans="1:41" s="441" customFormat="1" x14ac:dyDescent="0.2">
      <c r="A217" s="439"/>
      <c r="B217" s="360"/>
      <c r="C217" s="360"/>
      <c r="D217" s="360"/>
      <c r="E217" s="360"/>
      <c r="F217" s="360"/>
      <c r="G217" s="360"/>
      <c r="H217" s="360"/>
      <c r="I217" s="440"/>
      <c r="J217" s="180"/>
      <c r="K217" s="447"/>
      <c r="L217" s="2082"/>
      <c r="N217" s="440"/>
      <c r="O217" s="443"/>
      <c r="P217" s="444"/>
      <c r="Q217" s="442"/>
      <c r="R217" s="442"/>
      <c r="S217" s="442"/>
      <c r="T217" s="453"/>
      <c r="U217" s="446"/>
      <c r="V217" s="442"/>
      <c r="W217" s="360"/>
      <c r="X217" s="360"/>
      <c r="Y217" s="360"/>
      <c r="Z217" s="360"/>
      <c r="AA217" s="360"/>
      <c r="AB217" s="360"/>
      <c r="AC217" s="360"/>
      <c r="AD217" s="360"/>
      <c r="AE217" s="360"/>
      <c r="AF217" s="360"/>
      <c r="AG217" s="360"/>
      <c r="AH217" s="360"/>
      <c r="AI217" s="360"/>
      <c r="AJ217" s="360"/>
      <c r="AK217" s="360"/>
      <c r="AL217" s="360"/>
      <c r="AM217" s="360"/>
      <c r="AN217" s="360"/>
      <c r="AO217" s="360"/>
    </row>
    <row r="218" spans="1:41" s="441" customFormat="1" x14ac:dyDescent="0.2">
      <c r="A218" s="439"/>
      <c r="B218" s="360"/>
      <c r="C218" s="360"/>
      <c r="D218" s="360"/>
      <c r="E218" s="360"/>
      <c r="F218" s="360"/>
      <c r="G218" s="360"/>
      <c r="H218" s="360"/>
      <c r="I218" s="440"/>
      <c r="J218" s="180"/>
      <c r="K218" s="447"/>
      <c r="L218" s="2082"/>
      <c r="N218" s="440"/>
      <c r="O218" s="443"/>
      <c r="P218" s="444"/>
      <c r="Q218" s="442"/>
      <c r="R218" s="442"/>
      <c r="S218" s="442"/>
      <c r="T218" s="453"/>
      <c r="U218" s="446"/>
      <c r="V218" s="442"/>
      <c r="W218" s="360"/>
      <c r="X218" s="360"/>
      <c r="Y218" s="360"/>
      <c r="Z218" s="360"/>
      <c r="AA218" s="360"/>
      <c r="AB218" s="360"/>
      <c r="AC218" s="360"/>
      <c r="AD218" s="360"/>
      <c r="AE218" s="360"/>
      <c r="AF218" s="360"/>
      <c r="AG218" s="360"/>
      <c r="AH218" s="360"/>
      <c r="AI218" s="360"/>
      <c r="AJ218" s="360"/>
      <c r="AK218" s="360"/>
      <c r="AL218" s="360"/>
      <c r="AM218" s="360"/>
      <c r="AN218" s="360"/>
      <c r="AO218" s="360"/>
    </row>
    <row r="219" spans="1:41" s="441" customFormat="1" x14ac:dyDescent="0.2">
      <c r="A219" s="439"/>
      <c r="B219" s="360"/>
      <c r="C219" s="360"/>
      <c r="D219" s="360"/>
      <c r="E219" s="360"/>
      <c r="F219" s="360"/>
      <c r="G219" s="360"/>
      <c r="H219" s="360"/>
      <c r="I219" s="440"/>
      <c r="J219" s="180"/>
      <c r="K219" s="447"/>
      <c r="L219" s="2082"/>
      <c r="N219" s="440"/>
      <c r="O219" s="443"/>
      <c r="P219" s="444"/>
      <c r="Q219" s="442"/>
      <c r="R219" s="442"/>
      <c r="S219" s="442"/>
      <c r="T219" s="453"/>
      <c r="U219" s="446"/>
      <c r="V219" s="442"/>
      <c r="W219" s="360"/>
      <c r="X219" s="360"/>
      <c r="Y219" s="360"/>
      <c r="Z219" s="360"/>
      <c r="AA219" s="360"/>
      <c r="AB219" s="360"/>
      <c r="AC219" s="360"/>
      <c r="AD219" s="360"/>
      <c r="AE219" s="360"/>
      <c r="AF219" s="360"/>
      <c r="AG219" s="360"/>
      <c r="AH219" s="360"/>
      <c r="AI219" s="360"/>
      <c r="AJ219" s="360"/>
      <c r="AK219" s="360"/>
      <c r="AL219" s="360"/>
      <c r="AM219" s="360"/>
      <c r="AN219" s="360"/>
      <c r="AO219" s="360"/>
    </row>
    <row r="220" spans="1:41" s="441" customFormat="1" x14ac:dyDescent="0.2">
      <c r="A220" s="439"/>
      <c r="B220" s="360"/>
      <c r="C220" s="360"/>
      <c r="D220" s="360"/>
      <c r="E220" s="360"/>
      <c r="F220" s="360"/>
      <c r="G220" s="360"/>
      <c r="H220" s="360"/>
      <c r="I220" s="440"/>
      <c r="J220" s="180"/>
      <c r="K220" s="447"/>
      <c r="L220" s="2082"/>
      <c r="N220" s="440"/>
      <c r="O220" s="443"/>
      <c r="P220" s="444"/>
      <c r="Q220" s="442"/>
      <c r="R220" s="442"/>
      <c r="S220" s="442"/>
      <c r="T220" s="453"/>
      <c r="U220" s="446"/>
      <c r="V220" s="442"/>
      <c r="W220" s="360"/>
      <c r="X220" s="360"/>
      <c r="Y220" s="360"/>
      <c r="Z220" s="360"/>
      <c r="AA220" s="360"/>
      <c r="AB220" s="360"/>
      <c r="AC220" s="360"/>
      <c r="AD220" s="360"/>
      <c r="AE220" s="360"/>
      <c r="AF220" s="360"/>
      <c r="AG220" s="360"/>
      <c r="AH220" s="360"/>
      <c r="AI220" s="360"/>
      <c r="AJ220" s="360"/>
      <c r="AK220" s="360"/>
      <c r="AL220" s="360"/>
      <c r="AM220" s="360"/>
      <c r="AN220" s="360"/>
      <c r="AO220" s="360"/>
    </row>
    <row r="221" spans="1:41" s="441" customFormat="1" x14ac:dyDescent="0.2">
      <c r="A221" s="439"/>
      <c r="B221" s="360"/>
      <c r="C221" s="360"/>
      <c r="D221" s="360"/>
      <c r="E221" s="360"/>
      <c r="F221" s="360"/>
      <c r="G221" s="360"/>
      <c r="H221" s="360"/>
      <c r="I221" s="440"/>
      <c r="J221" s="180"/>
      <c r="K221" s="447"/>
      <c r="L221" s="2082"/>
      <c r="N221" s="440"/>
      <c r="O221" s="443"/>
      <c r="P221" s="444"/>
      <c r="Q221" s="442"/>
      <c r="R221" s="442"/>
      <c r="S221" s="442"/>
      <c r="T221" s="453"/>
      <c r="U221" s="446"/>
      <c r="V221" s="442"/>
      <c r="W221" s="360"/>
      <c r="X221" s="360"/>
      <c r="Y221" s="360"/>
      <c r="Z221" s="360"/>
      <c r="AA221" s="360"/>
      <c r="AB221" s="360"/>
      <c r="AC221" s="360"/>
      <c r="AD221" s="360"/>
      <c r="AE221" s="360"/>
      <c r="AF221" s="360"/>
      <c r="AG221" s="360"/>
      <c r="AH221" s="360"/>
      <c r="AI221" s="360"/>
      <c r="AJ221" s="360"/>
      <c r="AK221" s="360"/>
      <c r="AL221" s="360"/>
      <c r="AM221" s="360"/>
      <c r="AN221" s="360"/>
      <c r="AO221" s="360"/>
    </row>
    <row r="222" spans="1:41" s="441" customFormat="1" x14ac:dyDescent="0.2">
      <c r="A222" s="439"/>
      <c r="B222" s="360"/>
      <c r="C222" s="360"/>
      <c r="D222" s="360"/>
      <c r="E222" s="360"/>
      <c r="F222" s="360"/>
      <c r="G222" s="360"/>
      <c r="H222" s="360"/>
      <c r="I222" s="440"/>
      <c r="J222" s="180"/>
      <c r="K222" s="447"/>
      <c r="L222" s="2082"/>
      <c r="N222" s="440"/>
      <c r="O222" s="443"/>
      <c r="P222" s="444"/>
      <c r="Q222" s="442"/>
      <c r="R222" s="442"/>
      <c r="S222" s="442"/>
      <c r="T222" s="453"/>
      <c r="U222" s="446"/>
      <c r="V222" s="442"/>
      <c r="W222" s="360"/>
      <c r="X222" s="360"/>
      <c r="Y222" s="360"/>
      <c r="Z222" s="360"/>
      <c r="AA222" s="360"/>
      <c r="AB222" s="360"/>
      <c r="AC222" s="360"/>
      <c r="AD222" s="360"/>
      <c r="AE222" s="360"/>
      <c r="AF222" s="360"/>
      <c r="AG222" s="360"/>
      <c r="AH222" s="360"/>
      <c r="AI222" s="360"/>
      <c r="AJ222" s="360"/>
      <c r="AK222" s="360"/>
      <c r="AL222" s="360"/>
      <c r="AM222" s="360"/>
      <c r="AN222" s="360"/>
      <c r="AO222" s="360"/>
    </row>
    <row r="223" spans="1:41" s="441" customFormat="1" x14ac:dyDescent="0.2">
      <c r="A223" s="439"/>
      <c r="B223" s="360"/>
      <c r="C223" s="360"/>
      <c r="D223" s="360"/>
      <c r="E223" s="360"/>
      <c r="F223" s="360"/>
      <c r="G223" s="360"/>
      <c r="H223" s="360"/>
      <c r="I223" s="440"/>
      <c r="J223" s="180"/>
      <c r="K223" s="447"/>
      <c r="L223" s="2082"/>
      <c r="N223" s="440"/>
      <c r="O223" s="443"/>
      <c r="P223" s="444"/>
      <c r="Q223" s="442"/>
      <c r="R223" s="442"/>
      <c r="S223" s="442"/>
      <c r="T223" s="453"/>
      <c r="U223" s="446"/>
      <c r="V223" s="442"/>
      <c r="W223" s="360"/>
      <c r="X223" s="360"/>
      <c r="Y223" s="360"/>
      <c r="Z223" s="360"/>
      <c r="AA223" s="360"/>
      <c r="AB223" s="360"/>
      <c r="AC223" s="360"/>
      <c r="AD223" s="360"/>
      <c r="AE223" s="360"/>
      <c r="AF223" s="360"/>
      <c r="AG223" s="360"/>
      <c r="AH223" s="360"/>
      <c r="AI223" s="360"/>
      <c r="AJ223" s="360"/>
      <c r="AK223" s="360"/>
      <c r="AL223" s="360"/>
      <c r="AM223" s="360"/>
      <c r="AN223" s="360"/>
      <c r="AO223" s="360"/>
    </row>
    <row r="224" spans="1:41" s="441" customFormat="1" x14ac:dyDescent="0.2">
      <c r="A224" s="439"/>
      <c r="B224" s="360"/>
      <c r="C224" s="360"/>
      <c r="D224" s="360"/>
      <c r="E224" s="360"/>
      <c r="F224" s="360"/>
      <c r="G224" s="360"/>
      <c r="H224" s="360"/>
      <c r="I224" s="440"/>
      <c r="J224" s="180"/>
      <c r="K224" s="447"/>
      <c r="L224" s="2082"/>
      <c r="N224" s="440"/>
      <c r="O224" s="443"/>
      <c r="P224" s="444"/>
      <c r="Q224" s="442"/>
      <c r="R224" s="442"/>
      <c r="S224" s="442"/>
      <c r="T224" s="453"/>
      <c r="U224" s="446"/>
      <c r="V224" s="442"/>
      <c r="W224" s="360"/>
      <c r="X224" s="360"/>
      <c r="Y224" s="360"/>
      <c r="Z224" s="360"/>
      <c r="AA224" s="360"/>
      <c r="AB224" s="360"/>
      <c r="AC224" s="360"/>
      <c r="AD224" s="360"/>
      <c r="AE224" s="360"/>
      <c r="AF224" s="360"/>
      <c r="AG224" s="360"/>
      <c r="AH224" s="360"/>
      <c r="AI224" s="360"/>
      <c r="AJ224" s="360"/>
      <c r="AK224" s="360"/>
      <c r="AL224" s="360"/>
      <c r="AM224" s="360"/>
      <c r="AN224" s="360"/>
      <c r="AO224" s="360"/>
    </row>
    <row r="225" spans="1:41" s="441" customFormat="1" x14ac:dyDescent="0.2">
      <c r="A225" s="439"/>
      <c r="B225" s="360"/>
      <c r="C225" s="360"/>
      <c r="D225" s="360"/>
      <c r="E225" s="360"/>
      <c r="F225" s="360"/>
      <c r="G225" s="360"/>
      <c r="H225" s="360"/>
      <c r="I225" s="440"/>
      <c r="J225" s="180"/>
      <c r="K225" s="447"/>
      <c r="L225" s="2082"/>
      <c r="N225" s="440"/>
      <c r="O225" s="443"/>
      <c r="P225" s="444"/>
      <c r="Q225" s="442"/>
      <c r="R225" s="442"/>
      <c r="S225" s="442"/>
      <c r="T225" s="453"/>
      <c r="U225" s="446"/>
      <c r="V225" s="442"/>
      <c r="W225" s="360"/>
      <c r="X225" s="360"/>
      <c r="Y225" s="360"/>
      <c r="Z225" s="360"/>
      <c r="AA225" s="360"/>
      <c r="AB225" s="360"/>
      <c r="AC225" s="360"/>
      <c r="AD225" s="360"/>
      <c r="AE225" s="360"/>
      <c r="AF225" s="360"/>
      <c r="AG225" s="360"/>
      <c r="AH225" s="360"/>
      <c r="AI225" s="360"/>
      <c r="AJ225" s="360"/>
      <c r="AK225" s="360"/>
      <c r="AL225" s="360"/>
      <c r="AM225" s="360"/>
      <c r="AN225" s="360"/>
      <c r="AO225" s="360"/>
    </row>
    <row r="226" spans="1:41" s="441" customFormat="1" x14ac:dyDescent="0.2">
      <c r="A226" s="439"/>
      <c r="B226" s="360"/>
      <c r="C226" s="360"/>
      <c r="D226" s="360"/>
      <c r="E226" s="360"/>
      <c r="F226" s="360"/>
      <c r="G226" s="360"/>
      <c r="H226" s="360"/>
      <c r="I226" s="440"/>
      <c r="J226" s="180"/>
      <c r="K226" s="447"/>
      <c r="L226" s="2082"/>
      <c r="N226" s="440"/>
      <c r="O226" s="443"/>
      <c r="P226" s="444"/>
      <c r="Q226" s="442"/>
      <c r="R226" s="442"/>
      <c r="S226" s="442"/>
      <c r="T226" s="453"/>
      <c r="U226" s="446"/>
      <c r="V226" s="442"/>
      <c r="W226" s="360"/>
      <c r="X226" s="360"/>
      <c r="Y226" s="360"/>
      <c r="Z226" s="360"/>
      <c r="AA226" s="360"/>
      <c r="AB226" s="360"/>
      <c r="AC226" s="360"/>
      <c r="AD226" s="360"/>
      <c r="AE226" s="360"/>
      <c r="AF226" s="360"/>
      <c r="AG226" s="360"/>
      <c r="AH226" s="360"/>
      <c r="AI226" s="360"/>
      <c r="AJ226" s="360"/>
      <c r="AK226" s="360"/>
      <c r="AL226" s="360"/>
      <c r="AM226" s="360"/>
      <c r="AN226" s="360"/>
      <c r="AO226" s="360"/>
    </row>
    <row r="227" spans="1:41" s="441" customFormat="1" x14ac:dyDescent="0.2">
      <c r="A227" s="439"/>
      <c r="B227" s="360"/>
      <c r="C227" s="360"/>
      <c r="D227" s="360"/>
      <c r="E227" s="360"/>
      <c r="F227" s="360"/>
      <c r="G227" s="360"/>
      <c r="H227" s="360"/>
      <c r="I227" s="440"/>
      <c r="J227" s="180"/>
      <c r="K227" s="447"/>
      <c r="L227" s="2082"/>
      <c r="N227" s="440"/>
      <c r="O227" s="443"/>
      <c r="P227" s="444"/>
      <c r="Q227" s="442"/>
      <c r="R227" s="442"/>
      <c r="S227" s="442"/>
      <c r="T227" s="453"/>
      <c r="U227" s="446"/>
      <c r="V227" s="442"/>
      <c r="W227" s="360"/>
      <c r="X227" s="360"/>
      <c r="Y227" s="360"/>
      <c r="Z227" s="360"/>
      <c r="AA227" s="360"/>
      <c r="AB227" s="360"/>
      <c r="AC227" s="360"/>
      <c r="AD227" s="360"/>
      <c r="AE227" s="360"/>
      <c r="AF227" s="360"/>
      <c r="AG227" s="360"/>
      <c r="AH227" s="360"/>
      <c r="AI227" s="360"/>
      <c r="AJ227" s="360"/>
      <c r="AK227" s="360"/>
      <c r="AL227" s="360"/>
      <c r="AM227" s="360"/>
      <c r="AN227" s="360"/>
      <c r="AO227" s="360"/>
    </row>
    <row r="228" spans="1:41" s="441" customFormat="1" x14ac:dyDescent="0.2">
      <c r="A228" s="439"/>
      <c r="B228" s="360"/>
      <c r="C228" s="360"/>
      <c r="D228" s="360"/>
      <c r="E228" s="360"/>
      <c r="F228" s="360"/>
      <c r="G228" s="360"/>
      <c r="H228" s="360"/>
      <c r="I228" s="440"/>
      <c r="J228" s="180"/>
      <c r="K228" s="447"/>
      <c r="L228" s="2082"/>
      <c r="N228" s="440"/>
      <c r="O228" s="443"/>
      <c r="P228" s="444"/>
      <c r="Q228" s="442"/>
      <c r="R228" s="442"/>
      <c r="S228" s="442"/>
      <c r="T228" s="453"/>
      <c r="U228" s="446"/>
      <c r="V228" s="442"/>
      <c r="W228" s="360"/>
      <c r="X228" s="360"/>
      <c r="Y228" s="360"/>
      <c r="Z228" s="360"/>
      <c r="AA228" s="360"/>
      <c r="AB228" s="360"/>
      <c r="AC228" s="360"/>
      <c r="AD228" s="360"/>
      <c r="AE228" s="360"/>
      <c r="AF228" s="360"/>
      <c r="AG228" s="360"/>
      <c r="AH228" s="360"/>
      <c r="AI228" s="360"/>
      <c r="AJ228" s="360"/>
      <c r="AK228" s="360"/>
      <c r="AL228" s="360"/>
      <c r="AM228" s="360"/>
      <c r="AN228" s="360"/>
      <c r="AO228" s="360"/>
    </row>
    <row r="229" spans="1:41" s="441" customFormat="1" x14ac:dyDescent="0.2">
      <c r="A229" s="439"/>
      <c r="B229" s="360"/>
      <c r="C229" s="360"/>
      <c r="D229" s="360"/>
      <c r="E229" s="360"/>
      <c r="F229" s="360"/>
      <c r="G229" s="360"/>
      <c r="H229" s="360"/>
      <c r="I229" s="440"/>
      <c r="J229" s="180"/>
      <c r="K229" s="447"/>
      <c r="L229" s="2082"/>
      <c r="N229" s="440"/>
      <c r="O229" s="443"/>
      <c r="P229" s="444"/>
      <c r="Q229" s="442"/>
      <c r="R229" s="442"/>
      <c r="S229" s="442"/>
      <c r="T229" s="453"/>
      <c r="U229" s="446"/>
      <c r="V229" s="442"/>
      <c r="W229" s="360"/>
      <c r="X229" s="360"/>
      <c r="Y229" s="360"/>
      <c r="Z229" s="360"/>
      <c r="AA229" s="360"/>
      <c r="AB229" s="360"/>
      <c r="AC229" s="360"/>
      <c r="AD229" s="360"/>
      <c r="AE229" s="360"/>
      <c r="AF229" s="360"/>
      <c r="AG229" s="360"/>
      <c r="AH229" s="360"/>
      <c r="AI229" s="360"/>
      <c r="AJ229" s="360"/>
      <c r="AK229" s="360"/>
      <c r="AL229" s="360"/>
      <c r="AM229" s="360"/>
      <c r="AN229" s="360"/>
      <c r="AO229" s="360"/>
    </row>
    <row r="230" spans="1:41" s="441" customFormat="1" x14ac:dyDescent="0.2">
      <c r="A230" s="439"/>
      <c r="B230" s="360"/>
      <c r="C230" s="360"/>
      <c r="D230" s="360"/>
      <c r="E230" s="360"/>
      <c r="F230" s="360"/>
      <c r="G230" s="360"/>
      <c r="H230" s="360"/>
      <c r="I230" s="440"/>
      <c r="J230" s="180"/>
      <c r="K230" s="447"/>
      <c r="L230" s="2082"/>
      <c r="N230" s="440"/>
      <c r="O230" s="443"/>
      <c r="P230" s="444"/>
      <c r="Q230" s="442"/>
      <c r="R230" s="442"/>
      <c r="S230" s="442"/>
      <c r="T230" s="453"/>
      <c r="U230" s="446"/>
      <c r="V230" s="442"/>
      <c r="W230" s="360"/>
      <c r="X230" s="360"/>
      <c r="Y230" s="360"/>
      <c r="Z230" s="360"/>
      <c r="AA230" s="360"/>
      <c r="AB230" s="360"/>
      <c r="AC230" s="360"/>
      <c r="AD230" s="360"/>
      <c r="AE230" s="360"/>
      <c r="AF230" s="360"/>
      <c r="AG230" s="360"/>
      <c r="AH230" s="360"/>
      <c r="AI230" s="360"/>
      <c r="AJ230" s="360"/>
      <c r="AK230" s="360"/>
      <c r="AL230" s="360"/>
      <c r="AM230" s="360"/>
      <c r="AN230" s="360"/>
      <c r="AO230" s="360"/>
    </row>
    <row r="231" spans="1:41" s="441" customFormat="1" x14ac:dyDescent="0.2">
      <c r="A231" s="439"/>
      <c r="B231" s="360"/>
      <c r="C231" s="360"/>
      <c r="D231" s="360"/>
      <c r="E231" s="360"/>
      <c r="F231" s="360"/>
      <c r="G231" s="360"/>
      <c r="H231" s="360"/>
      <c r="I231" s="440"/>
      <c r="J231" s="180"/>
      <c r="K231" s="447"/>
      <c r="L231" s="2082"/>
      <c r="N231" s="440"/>
      <c r="O231" s="443"/>
      <c r="P231" s="444"/>
      <c r="Q231" s="442"/>
      <c r="R231" s="442"/>
      <c r="S231" s="442"/>
      <c r="T231" s="453"/>
      <c r="U231" s="446"/>
      <c r="V231" s="442"/>
      <c r="W231" s="360"/>
      <c r="X231" s="360"/>
      <c r="Y231" s="360"/>
      <c r="Z231" s="360"/>
      <c r="AA231" s="360"/>
      <c r="AB231" s="360"/>
      <c r="AC231" s="360"/>
      <c r="AD231" s="360"/>
      <c r="AE231" s="360"/>
      <c r="AF231" s="360"/>
      <c r="AG231" s="360"/>
      <c r="AH231" s="360"/>
      <c r="AI231" s="360"/>
      <c r="AJ231" s="360"/>
      <c r="AK231" s="360"/>
      <c r="AL231" s="360"/>
      <c r="AM231" s="360"/>
      <c r="AN231" s="360"/>
      <c r="AO231" s="360"/>
    </row>
    <row r="232" spans="1:41" s="441" customFormat="1" x14ac:dyDescent="0.2">
      <c r="A232" s="439"/>
      <c r="B232" s="360"/>
      <c r="C232" s="360"/>
      <c r="D232" s="360"/>
      <c r="E232" s="360"/>
      <c r="F232" s="360"/>
      <c r="G232" s="360"/>
      <c r="H232" s="360"/>
      <c r="I232" s="440"/>
      <c r="J232" s="180"/>
      <c r="K232" s="447"/>
      <c r="L232" s="2082"/>
      <c r="N232" s="440"/>
      <c r="O232" s="443"/>
      <c r="P232" s="444"/>
      <c r="Q232" s="442"/>
      <c r="R232" s="442"/>
      <c r="S232" s="442"/>
      <c r="T232" s="453"/>
      <c r="U232" s="446"/>
      <c r="V232" s="442"/>
      <c r="W232" s="360"/>
      <c r="X232" s="360"/>
      <c r="Y232" s="360"/>
      <c r="Z232" s="360"/>
      <c r="AA232" s="360"/>
      <c r="AB232" s="360"/>
      <c r="AC232" s="360"/>
      <c r="AD232" s="360"/>
      <c r="AE232" s="360"/>
      <c r="AF232" s="360"/>
      <c r="AG232" s="360"/>
      <c r="AH232" s="360"/>
      <c r="AI232" s="360"/>
      <c r="AJ232" s="360"/>
      <c r="AK232" s="360"/>
      <c r="AL232" s="360"/>
      <c r="AM232" s="360"/>
      <c r="AN232" s="360"/>
      <c r="AO232" s="360"/>
    </row>
    <row r="233" spans="1:41" s="441" customFormat="1" x14ac:dyDescent="0.2">
      <c r="A233" s="439"/>
      <c r="B233" s="360"/>
      <c r="C233" s="360"/>
      <c r="D233" s="360"/>
      <c r="E233" s="360"/>
      <c r="F233" s="360"/>
      <c r="G233" s="360"/>
      <c r="H233" s="360"/>
      <c r="I233" s="440"/>
      <c r="J233" s="180"/>
      <c r="K233" s="447"/>
      <c r="L233" s="2082"/>
      <c r="N233" s="440"/>
      <c r="O233" s="443"/>
      <c r="P233" s="444"/>
      <c r="Q233" s="442"/>
      <c r="R233" s="442"/>
      <c r="S233" s="442"/>
      <c r="T233" s="453"/>
      <c r="U233" s="446"/>
      <c r="V233" s="442"/>
      <c r="W233" s="360"/>
      <c r="X233" s="360"/>
      <c r="Y233" s="360"/>
      <c r="Z233" s="360"/>
      <c r="AA233" s="360"/>
      <c r="AB233" s="360"/>
      <c r="AC233" s="360"/>
      <c r="AD233" s="360"/>
      <c r="AE233" s="360"/>
      <c r="AF233" s="360"/>
      <c r="AG233" s="360"/>
      <c r="AH233" s="360"/>
      <c r="AI233" s="360"/>
      <c r="AJ233" s="360"/>
      <c r="AK233" s="360"/>
      <c r="AL233" s="360"/>
      <c r="AM233" s="360"/>
      <c r="AN233" s="360"/>
      <c r="AO233" s="360"/>
    </row>
    <row r="234" spans="1:41" s="441" customFormat="1" x14ac:dyDescent="0.2">
      <c r="A234" s="439"/>
      <c r="B234" s="360"/>
      <c r="C234" s="360"/>
      <c r="D234" s="360"/>
      <c r="E234" s="360"/>
      <c r="F234" s="360"/>
      <c r="G234" s="360"/>
      <c r="H234" s="360"/>
      <c r="I234" s="440"/>
      <c r="J234" s="180"/>
      <c r="K234" s="447"/>
      <c r="L234" s="2082"/>
      <c r="N234" s="440"/>
      <c r="O234" s="443"/>
      <c r="P234" s="444"/>
      <c r="Q234" s="442"/>
      <c r="R234" s="442"/>
      <c r="S234" s="442"/>
      <c r="T234" s="453"/>
      <c r="U234" s="446"/>
      <c r="V234" s="442"/>
      <c r="W234" s="360"/>
      <c r="X234" s="360"/>
      <c r="Y234" s="360"/>
      <c r="Z234" s="360"/>
      <c r="AA234" s="360"/>
      <c r="AB234" s="360"/>
      <c r="AC234" s="360"/>
      <c r="AD234" s="360"/>
      <c r="AE234" s="360"/>
      <c r="AF234" s="360"/>
      <c r="AG234" s="360"/>
      <c r="AH234" s="360"/>
      <c r="AI234" s="360"/>
      <c r="AJ234" s="360"/>
      <c r="AK234" s="360"/>
      <c r="AL234" s="360"/>
      <c r="AM234" s="360"/>
      <c r="AN234" s="360"/>
      <c r="AO234" s="360"/>
    </row>
    <row r="235" spans="1:41" s="441" customFormat="1" x14ac:dyDescent="0.2">
      <c r="A235" s="439"/>
      <c r="B235" s="360"/>
      <c r="C235" s="360"/>
      <c r="D235" s="360"/>
      <c r="E235" s="360"/>
      <c r="F235" s="360"/>
      <c r="G235" s="360"/>
      <c r="H235" s="360"/>
      <c r="I235" s="440"/>
      <c r="J235" s="180"/>
      <c r="K235" s="447"/>
      <c r="L235" s="2082"/>
      <c r="N235" s="440"/>
      <c r="O235" s="443"/>
      <c r="P235" s="444"/>
      <c r="Q235" s="442"/>
      <c r="R235" s="442"/>
      <c r="S235" s="442"/>
      <c r="T235" s="453"/>
      <c r="U235" s="446"/>
      <c r="V235" s="442"/>
      <c r="W235" s="360"/>
      <c r="X235" s="360"/>
      <c r="Y235" s="360"/>
      <c r="Z235" s="360"/>
      <c r="AA235" s="360"/>
      <c r="AB235" s="360"/>
      <c r="AC235" s="360"/>
      <c r="AD235" s="360"/>
      <c r="AE235" s="360"/>
      <c r="AF235" s="360"/>
      <c r="AG235" s="360"/>
      <c r="AH235" s="360"/>
      <c r="AI235" s="360"/>
      <c r="AJ235" s="360"/>
      <c r="AK235" s="360"/>
      <c r="AL235" s="360"/>
      <c r="AM235" s="360"/>
      <c r="AN235" s="360"/>
      <c r="AO235" s="360"/>
    </row>
    <row r="236" spans="1:41" s="441" customFormat="1" x14ac:dyDescent="0.2">
      <c r="A236" s="439"/>
      <c r="B236" s="360"/>
      <c r="C236" s="360"/>
      <c r="D236" s="360"/>
      <c r="E236" s="360"/>
      <c r="F236" s="360"/>
      <c r="G236" s="360"/>
      <c r="H236" s="360"/>
      <c r="I236" s="440"/>
      <c r="J236" s="180"/>
      <c r="K236" s="447"/>
      <c r="L236" s="2082"/>
      <c r="N236" s="440"/>
      <c r="O236" s="443"/>
      <c r="P236" s="444"/>
      <c r="Q236" s="442"/>
      <c r="R236" s="442"/>
      <c r="S236" s="442"/>
      <c r="T236" s="453"/>
      <c r="U236" s="446"/>
      <c r="V236" s="442"/>
      <c r="W236" s="360"/>
      <c r="X236" s="360"/>
      <c r="Y236" s="360"/>
      <c r="Z236" s="360"/>
      <c r="AA236" s="360"/>
      <c r="AB236" s="360"/>
      <c r="AC236" s="360"/>
      <c r="AD236" s="360"/>
      <c r="AE236" s="360"/>
      <c r="AF236" s="360"/>
      <c r="AG236" s="360"/>
      <c r="AH236" s="360"/>
      <c r="AI236" s="360"/>
      <c r="AJ236" s="360"/>
      <c r="AK236" s="360"/>
      <c r="AL236" s="360"/>
      <c r="AM236" s="360"/>
      <c r="AN236" s="360"/>
      <c r="AO236" s="360"/>
    </row>
    <row r="237" spans="1:41" s="441" customFormat="1" x14ac:dyDescent="0.2">
      <c r="A237" s="439"/>
      <c r="B237" s="360"/>
      <c r="C237" s="360"/>
      <c r="D237" s="360"/>
      <c r="E237" s="360"/>
      <c r="F237" s="360"/>
      <c r="G237" s="360"/>
      <c r="H237" s="360"/>
      <c r="I237" s="440"/>
      <c r="J237" s="180"/>
      <c r="K237" s="447"/>
      <c r="L237" s="2082"/>
      <c r="N237" s="440"/>
      <c r="O237" s="443"/>
      <c r="P237" s="444"/>
      <c r="Q237" s="442"/>
      <c r="R237" s="442"/>
      <c r="S237" s="442"/>
      <c r="T237" s="453"/>
      <c r="U237" s="446"/>
      <c r="V237" s="442"/>
      <c r="W237" s="360"/>
      <c r="X237" s="360"/>
      <c r="Y237" s="360"/>
      <c r="Z237" s="360"/>
      <c r="AA237" s="360"/>
      <c r="AB237" s="360"/>
      <c r="AC237" s="360"/>
      <c r="AD237" s="360"/>
      <c r="AE237" s="360"/>
      <c r="AF237" s="360"/>
      <c r="AG237" s="360"/>
      <c r="AH237" s="360"/>
      <c r="AI237" s="360"/>
      <c r="AJ237" s="360"/>
      <c r="AK237" s="360"/>
      <c r="AL237" s="360"/>
      <c r="AM237" s="360"/>
      <c r="AN237" s="360"/>
      <c r="AO237" s="360"/>
    </row>
    <row r="238" spans="1:41" s="441" customFormat="1" x14ac:dyDescent="0.2">
      <c r="A238" s="439"/>
      <c r="B238" s="360"/>
      <c r="C238" s="360"/>
      <c r="D238" s="360"/>
      <c r="E238" s="360"/>
      <c r="F238" s="360"/>
      <c r="G238" s="360"/>
      <c r="H238" s="360"/>
      <c r="I238" s="440"/>
      <c r="J238" s="180"/>
      <c r="K238" s="447"/>
      <c r="L238" s="2082"/>
      <c r="N238" s="440"/>
      <c r="O238" s="443"/>
      <c r="P238" s="444"/>
      <c r="Q238" s="442"/>
      <c r="R238" s="442"/>
      <c r="S238" s="442"/>
      <c r="T238" s="453"/>
      <c r="U238" s="446"/>
      <c r="V238" s="442"/>
      <c r="W238" s="360"/>
      <c r="X238" s="360"/>
      <c r="Y238" s="360"/>
      <c r="Z238" s="360"/>
      <c r="AA238" s="360"/>
      <c r="AB238" s="360"/>
      <c r="AC238" s="360"/>
      <c r="AD238" s="360"/>
      <c r="AE238" s="360"/>
      <c r="AF238" s="360"/>
      <c r="AG238" s="360"/>
      <c r="AH238" s="360"/>
      <c r="AI238" s="360"/>
      <c r="AJ238" s="360"/>
      <c r="AK238" s="360"/>
      <c r="AL238" s="360"/>
      <c r="AM238" s="360"/>
      <c r="AN238" s="360"/>
      <c r="AO238" s="360"/>
    </row>
    <row r="239" spans="1:41" s="441" customFormat="1" x14ac:dyDescent="0.2">
      <c r="A239" s="439"/>
      <c r="B239" s="360"/>
      <c r="C239" s="360"/>
      <c r="D239" s="360"/>
      <c r="E239" s="360"/>
      <c r="F239" s="360"/>
      <c r="G239" s="360"/>
      <c r="H239" s="360"/>
      <c r="I239" s="440"/>
      <c r="J239" s="180"/>
      <c r="K239" s="447"/>
      <c r="L239" s="2082"/>
      <c r="N239" s="440"/>
      <c r="O239" s="443"/>
      <c r="P239" s="444"/>
      <c r="Q239" s="442"/>
      <c r="R239" s="442"/>
      <c r="S239" s="442"/>
      <c r="T239" s="453"/>
      <c r="U239" s="446"/>
      <c r="V239" s="442"/>
      <c r="W239" s="360"/>
      <c r="X239" s="360"/>
      <c r="Y239" s="360"/>
      <c r="Z239" s="360"/>
      <c r="AA239" s="360"/>
      <c r="AB239" s="360"/>
      <c r="AC239" s="360"/>
      <c r="AD239" s="360"/>
      <c r="AE239" s="360"/>
      <c r="AF239" s="360"/>
      <c r="AG239" s="360"/>
      <c r="AH239" s="360"/>
      <c r="AI239" s="360"/>
      <c r="AJ239" s="360"/>
      <c r="AK239" s="360"/>
      <c r="AL239" s="360"/>
      <c r="AM239" s="360"/>
      <c r="AN239" s="360"/>
      <c r="AO239" s="360"/>
    </row>
    <row r="240" spans="1:41" s="441" customFormat="1" x14ac:dyDescent="0.2">
      <c r="A240" s="439"/>
      <c r="B240" s="360"/>
      <c r="C240" s="360"/>
      <c r="D240" s="360"/>
      <c r="E240" s="360"/>
      <c r="F240" s="360"/>
      <c r="G240" s="360"/>
      <c r="H240" s="360"/>
      <c r="I240" s="440"/>
      <c r="J240" s="180"/>
      <c r="K240" s="447"/>
      <c r="L240" s="2082"/>
      <c r="N240" s="440"/>
      <c r="O240" s="443"/>
      <c r="P240" s="444"/>
      <c r="Q240" s="442"/>
      <c r="R240" s="442"/>
      <c r="S240" s="442"/>
      <c r="T240" s="453"/>
      <c r="U240" s="446"/>
      <c r="V240" s="442"/>
      <c r="W240" s="360"/>
      <c r="X240" s="360"/>
      <c r="Y240" s="360"/>
      <c r="Z240" s="360"/>
      <c r="AA240" s="360"/>
      <c r="AB240" s="360"/>
      <c r="AC240" s="360"/>
      <c r="AD240" s="360"/>
      <c r="AE240" s="360"/>
      <c r="AF240" s="360"/>
      <c r="AG240" s="360"/>
      <c r="AH240" s="360"/>
      <c r="AI240" s="360"/>
      <c r="AJ240" s="360"/>
      <c r="AK240" s="360"/>
      <c r="AL240" s="360"/>
      <c r="AM240" s="360"/>
      <c r="AN240" s="360"/>
      <c r="AO240" s="360"/>
    </row>
    <row r="241" spans="1:41" s="441" customFormat="1" x14ac:dyDescent="0.2">
      <c r="A241" s="439"/>
      <c r="B241" s="360"/>
      <c r="C241" s="360"/>
      <c r="D241" s="360"/>
      <c r="E241" s="360"/>
      <c r="F241" s="360"/>
      <c r="G241" s="360"/>
      <c r="H241" s="360"/>
      <c r="I241" s="440"/>
      <c r="J241" s="180"/>
      <c r="K241" s="447"/>
      <c r="L241" s="2082"/>
      <c r="N241" s="440"/>
      <c r="O241" s="443"/>
      <c r="P241" s="444"/>
      <c r="Q241" s="442"/>
      <c r="R241" s="442"/>
      <c r="S241" s="442"/>
      <c r="T241" s="453"/>
      <c r="U241" s="446"/>
      <c r="V241" s="442"/>
      <c r="W241" s="360"/>
      <c r="X241" s="360"/>
      <c r="Y241" s="360"/>
      <c r="Z241" s="360"/>
      <c r="AA241" s="360"/>
      <c r="AB241" s="360"/>
      <c r="AC241" s="360"/>
      <c r="AD241" s="360"/>
      <c r="AE241" s="360"/>
      <c r="AF241" s="360"/>
      <c r="AG241" s="360"/>
      <c r="AH241" s="360"/>
      <c r="AI241" s="360"/>
      <c r="AJ241" s="360"/>
      <c r="AK241" s="360"/>
      <c r="AL241" s="360"/>
      <c r="AM241" s="360"/>
      <c r="AN241" s="360"/>
      <c r="AO241" s="360"/>
    </row>
    <row r="242" spans="1:41" s="441" customFormat="1" x14ac:dyDescent="0.2">
      <c r="A242" s="439"/>
      <c r="B242" s="360"/>
      <c r="C242" s="360"/>
      <c r="D242" s="360"/>
      <c r="E242" s="360"/>
      <c r="F242" s="360"/>
      <c r="G242" s="360"/>
      <c r="H242" s="360"/>
      <c r="I242" s="440"/>
      <c r="J242" s="180"/>
      <c r="K242" s="447"/>
      <c r="L242" s="2082"/>
      <c r="N242" s="440"/>
      <c r="O242" s="443"/>
      <c r="P242" s="444"/>
      <c r="Q242" s="442"/>
      <c r="R242" s="442"/>
      <c r="S242" s="442"/>
      <c r="T242" s="453"/>
      <c r="U242" s="446"/>
      <c r="V242" s="442"/>
      <c r="W242" s="360"/>
      <c r="X242" s="360"/>
      <c r="Y242" s="360"/>
      <c r="Z242" s="360"/>
      <c r="AA242" s="360"/>
      <c r="AB242" s="360"/>
      <c r="AC242" s="360"/>
      <c r="AD242" s="360"/>
      <c r="AE242" s="360"/>
      <c r="AF242" s="360"/>
      <c r="AG242" s="360"/>
      <c r="AH242" s="360"/>
      <c r="AI242" s="360"/>
      <c r="AJ242" s="360"/>
      <c r="AK242" s="360"/>
      <c r="AL242" s="360"/>
      <c r="AM242" s="360"/>
      <c r="AN242" s="360"/>
      <c r="AO242" s="360"/>
    </row>
    <row r="243" spans="1:41" s="441" customFormat="1" x14ac:dyDescent="0.2">
      <c r="A243" s="439"/>
      <c r="B243" s="360"/>
      <c r="C243" s="360"/>
      <c r="D243" s="360"/>
      <c r="E243" s="360"/>
      <c r="F243" s="360"/>
      <c r="G243" s="360"/>
      <c r="H243" s="360"/>
      <c r="I243" s="440"/>
      <c r="J243" s="180"/>
      <c r="K243" s="447"/>
      <c r="L243" s="2082"/>
      <c r="N243" s="440"/>
      <c r="O243" s="443"/>
      <c r="P243" s="444"/>
      <c r="Q243" s="442"/>
      <c r="R243" s="442"/>
      <c r="S243" s="442"/>
      <c r="T243" s="453"/>
      <c r="U243" s="446"/>
      <c r="V243" s="442"/>
      <c r="W243" s="360"/>
      <c r="X243" s="360"/>
      <c r="Y243" s="360"/>
      <c r="Z243" s="360"/>
      <c r="AA243" s="360"/>
      <c r="AB243" s="360"/>
      <c r="AC243" s="360"/>
      <c r="AD243" s="360"/>
      <c r="AE243" s="360"/>
      <c r="AF243" s="360"/>
      <c r="AG243" s="360"/>
      <c r="AH243" s="360"/>
      <c r="AI243" s="360"/>
      <c r="AJ243" s="360"/>
      <c r="AK243" s="360"/>
      <c r="AL243" s="360"/>
      <c r="AM243" s="360"/>
      <c r="AN243" s="360"/>
      <c r="AO243" s="360"/>
    </row>
    <row r="244" spans="1:41" s="441" customFormat="1" x14ac:dyDescent="0.2">
      <c r="A244" s="439"/>
      <c r="B244" s="360"/>
      <c r="C244" s="360"/>
      <c r="D244" s="360"/>
      <c r="E244" s="360"/>
      <c r="F244" s="360"/>
      <c r="G244" s="360"/>
      <c r="H244" s="360"/>
      <c r="I244" s="440"/>
      <c r="J244" s="180"/>
      <c r="K244" s="447"/>
      <c r="L244" s="2082"/>
      <c r="N244" s="440"/>
      <c r="O244" s="443"/>
      <c r="P244" s="444"/>
      <c r="Q244" s="442"/>
      <c r="R244" s="442"/>
      <c r="S244" s="442"/>
      <c r="T244" s="453"/>
      <c r="U244" s="446"/>
      <c r="V244" s="442"/>
      <c r="W244" s="360"/>
      <c r="X244" s="360"/>
      <c r="Y244" s="360"/>
      <c r="Z244" s="360"/>
      <c r="AA244" s="360"/>
      <c r="AB244" s="360"/>
      <c r="AC244" s="360"/>
      <c r="AD244" s="360"/>
      <c r="AE244" s="360"/>
      <c r="AF244" s="360"/>
      <c r="AG244" s="360"/>
      <c r="AH244" s="360"/>
      <c r="AI244" s="360"/>
      <c r="AJ244" s="360"/>
      <c r="AK244" s="360"/>
      <c r="AL244" s="360"/>
      <c r="AM244" s="360"/>
      <c r="AN244" s="360"/>
      <c r="AO244" s="360"/>
    </row>
    <row r="245" spans="1:41" s="441" customFormat="1" x14ac:dyDescent="0.2">
      <c r="A245" s="439"/>
      <c r="B245" s="360"/>
      <c r="C245" s="360"/>
      <c r="D245" s="360"/>
      <c r="E245" s="360"/>
      <c r="F245" s="360"/>
      <c r="G245" s="360"/>
      <c r="H245" s="360"/>
      <c r="I245" s="440"/>
      <c r="J245" s="180"/>
      <c r="K245" s="447"/>
      <c r="L245" s="2082"/>
      <c r="N245" s="440"/>
      <c r="O245" s="443"/>
      <c r="P245" s="444"/>
      <c r="Q245" s="442"/>
      <c r="R245" s="442"/>
      <c r="S245" s="442"/>
      <c r="T245" s="453"/>
      <c r="U245" s="446"/>
      <c r="V245" s="442"/>
      <c r="W245" s="360"/>
      <c r="X245" s="360"/>
      <c r="Y245" s="360"/>
      <c r="Z245" s="360"/>
      <c r="AA245" s="360"/>
      <c r="AB245" s="360"/>
      <c r="AC245" s="360"/>
      <c r="AD245" s="360"/>
      <c r="AE245" s="360"/>
      <c r="AF245" s="360"/>
      <c r="AG245" s="360"/>
      <c r="AH245" s="360"/>
      <c r="AI245" s="360"/>
      <c r="AJ245" s="360"/>
      <c r="AK245" s="360"/>
      <c r="AL245" s="360"/>
      <c r="AM245" s="360"/>
      <c r="AN245" s="360"/>
      <c r="AO245" s="360"/>
    </row>
    <row r="246" spans="1:41" s="441" customFormat="1" x14ac:dyDescent="0.2">
      <c r="A246" s="439"/>
      <c r="B246" s="360"/>
      <c r="C246" s="360"/>
      <c r="D246" s="360"/>
      <c r="E246" s="360"/>
      <c r="F246" s="360"/>
      <c r="G246" s="360"/>
      <c r="H246" s="360"/>
      <c r="I246" s="440"/>
      <c r="J246" s="180"/>
      <c r="K246" s="447"/>
      <c r="L246" s="2082"/>
      <c r="N246" s="440"/>
      <c r="O246" s="443"/>
      <c r="P246" s="444"/>
      <c r="Q246" s="442"/>
      <c r="R246" s="442"/>
      <c r="S246" s="442"/>
      <c r="T246" s="453"/>
      <c r="U246" s="446"/>
      <c r="V246" s="442"/>
      <c r="W246" s="360"/>
      <c r="X246" s="360"/>
      <c r="Y246" s="360"/>
      <c r="Z246" s="360"/>
      <c r="AA246" s="360"/>
      <c r="AB246" s="360"/>
      <c r="AC246" s="360"/>
      <c r="AD246" s="360"/>
      <c r="AE246" s="360"/>
      <c r="AF246" s="360"/>
      <c r="AG246" s="360"/>
      <c r="AH246" s="360"/>
      <c r="AI246" s="360"/>
      <c r="AJ246" s="360"/>
      <c r="AK246" s="360"/>
      <c r="AL246" s="360"/>
      <c r="AM246" s="360"/>
      <c r="AN246" s="360"/>
      <c r="AO246" s="360"/>
    </row>
    <row r="247" spans="1:41" s="441" customFormat="1" x14ac:dyDescent="0.2">
      <c r="A247" s="439"/>
      <c r="B247" s="360"/>
      <c r="C247" s="360"/>
      <c r="D247" s="360"/>
      <c r="E247" s="360"/>
      <c r="F247" s="360"/>
      <c r="G247" s="360"/>
      <c r="H247" s="360"/>
      <c r="I247" s="440"/>
      <c r="J247" s="180"/>
      <c r="K247" s="447"/>
      <c r="L247" s="2082"/>
      <c r="N247" s="440"/>
      <c r="O247" s="443"/>
      <c r="P247" s="444"/>
      <c r="Q247" s="442"/>
      <c r="R247" s="442"/>
      <c r="S247" s="442"/>
      <c r="T247" s="453"/>
      <c r="U247" s="446"/>
      <c r="V247" s="442"/>
      <c r="W247" s="360"/>
      <c r="X247" s="360"/>
      <c r="Y247" s="360"/>
      <c r="Z247" s="360"/>
      <c r="AA247" s="360"/>
      <c r="AB247" s="360"/>
      <c r="AC247" s="360"/>
      <c r="AD247" s="360"/>
      <c r="AE247" s="360"/>
      <c r="AF247" s="360"/>
      <c r="AG247" s="360"/>
      <c r="AH247" s="360"/>
      <c r="AI247" s="360"/>
      <c r="AJ247" s="360"/>
      <c r="AK247" s="360"/>
      <c r="AL247" s="360"/>
      <c r="AM247" s="360"/>
      <c r="AN247" s="360"/>
      <c r="AO247" s="360"/>
    </row>
    <row r="248" spans="1:41" s="441" customFormat="1" x14ac:dyDescent="0.2">
      <c r="A248" s="439"/>
      <c r="B248" s="360"/>
      <c r="C248" s="360"/>
      <c r="D248" s="360"/>
      <c r="E248" s="360"/>
      <c r="F248" s="360"/>
      <c r="G248" s="360"/>
      <c r="H248" s="360"/>
      <c r="I248" s="440"/>
      <c r="J248" s="180"/>
      <c r="K248" s="447"/>
      <c r="L248" s="2082"/>
      <c r="N248" s="440"/>
      <c r="O248" s="443"/>
      <c r="P248" s="444"/>
      <c r="Q248" s="442"/>
      <c r="R248" s="442"/>
      <c r="S248" s="442"/>
      <c r="T248" s="453"/>
      <c r="U248" s="446"/>
      <c r="V248" s="442"/>
      <c r="W248" s="360"/>
      <c r="X248" s="360"/>
      <c r="Y248" s="360"/>
      <c r="Z248" s="360"/>
      <c r="AA248" s="360"/>
      <c r="AB248" s="360"/>
      <c r="AC248" s="360"/>
      <c r="AD248" s="360"/>
      <c r="AE248" s="360"/>
      <c r="AF248" s="360"/>
      <c r="AG248" s="360"/>
      <c r="AH248" s="360"/>
      <c r="AI248" s="360"/>
      <c r="AJ248" s="360"/>
      <c r="AK248" s="360"/>
      <c r="AL248" s="360"/>
      <c r="AM248" s="360"/>
      <c r="AN248" s="360"/>
      <c r="AO248" s="360"/>
    </row>
    <row r="249" spans="1:41" s="441" customFormat="1" x14ac:dyDescent="0.2">
      <c r="A249" s="439"/>
      <c r="B249" s="360"/>
      <c r="C249" s="360"/>
      <c r="D249" s="360"/>
      <c r="E249" s="360"/>
      <c r="F249" s="360"/>
      <c r="G249" s="360"/>
      <c r="H249" s="360"/>
      <c r="I249" s="440"/>
      <c r="J249" s="180"/>
      <c r="K249" s="447"/>
      <c r="L249" s="2082"/>
      <c r="N249" s="440"/>
      <c r="O249" s="443"/>
      <c r="P249" s="444"/>
      <c r="Q249" s="442"/>
      <c r="R249" s="442"/>
      <c r="S249" s="442"/>
      <c r="T249" s="453"/>
      <c r="U249" s="446"/>
      <c r="V249" s="442"/>
      <c r="W249" s="360"/>
      <c r="X249" s="360"/>
      <c r="Y249" s="360"/>
      <c r="Z249" s="360"/>
      <c r="AA249" s="360"/>
      <c r="AB249" s="360"/>
      <c r="AC249" s="360"/>
      <c r="AD249" s="360"/>
      <c r="AE249" s="360"/>
      <c r="AF249" s="360"/>
      <c r="AG249" s="360"/>
      <c r="AH249" s="360"/>
      <c r="AI249" s="360"/>
      <c r="AJ249" s="360"/>
      <c r="AK249" s="360"/>
      <c r="AL249" s="360"/>
      <c r="AM249" s="360"/>
      <c r="AN249" s="360"/>
      <c r="AO249" s="360"/>
    </row>
    <row r="250" spans="1:41" s="441" customFormat="1" x14ac:dyDescent="0.2">
      <c r="A250" s="439"/>
      <c r="B250" s="360"/>
      <c r="C250" s="360"/>
      <c r="D250" s="360"/>
      <c r="E250" s="360"/>
      <c r="F250" s="360"/>
      <c r="G250" s="360"/>
      <c r="H250" s="360"/>
      <c r="I250" s="440"/>
      <c r="J250" s="180"/>
      <c r="K250" s="447"/>
      <c r="L250" s="2082"/>
      <c r="N250" s="440"/>
      <c r="O250" s="443"/>
      <c r="P250" s="444"/>
      <c r="Q250" s="442"/>
      <c r="R250" s="442"/>
      <c r="S250" s="442"/>
      <c r="T250" s="453"/>
      <c r="U250" s="446"/>
      <c r="V250" s="442"/>
      <c r="W250" s="360"/>
      <c r="X250" s="360"/>
      <c r="Y250" s="360"/>
      <c r="Z250" s="360"/>
      <c r="AA250" s="360"/>
      <c r="AB250" s="360"/>
      <c r="AC250" s="360"/>
      <c r="AD250" s="360"/>
      <c r="AE250" s="360"/>
      <c r="AF250" s="360"/>
      <c r="AG250" s="360"/>
      <c r="AH250" s="360"/>
      <c r="AI250" s="360"/>
      <c r="AJ250" s="360"/>
      <c r="AK250" s="360"/>
      <c r="AL250" s="360"/>
      <c r="AM250" s="360"/>
      <c r="AN250" s="360"/>
      <c r="AO250" s="360"/>
    </row>
    <row r="251" spans="1:41" s="441" customFormat="1" x14ac:dyDescent="0.2">
      <c r="A251" s="439"/>
      <c r="B251" s="360"/>
      <c r="C251" s="360"/>
      <c r="D251" s="360"/>
      <c r="E251" s="360"/>
      <c r="F251" s="360"/>
      <c r="G251" s="360"/>
      <c r="H251" s="360"/>
      <c r="I251" s="440"/>
      <c r="J251" s="180"/>
      <c r="K251" s="447"/>
      <c r="L251" s="2082"/>
      <c r="N251" s="440"/>
      <c r="O251" s="443"/>
      <c r="P251" s="444"/>
      <c r="Q251" s="442"/>
      <c r="R251" s="442"/>
      <c r="S251" s="442"/>
      <c r="T251" s="453"/>
      <c r="U251" s="446"/>
      <c r="V251" s="442"/>
      <c r="W251" s="360"/>
      <c r="X251" s="360"/>
      <c r="Y251" s="360"/>
      <c r="Z251" s="360"/>
      <c r="AA251" s="360"/>
      <c r="AB251" s="360"/>
      <c r="AC251" s="360"/>
      <c r="AD251" s="360"/>
      <c r="AE251" s="360"/>
      <c r="AF251" s="360"/>
      <c r="AG251" s="360"/>
      <c r="AH251" s="360"/>
      <c r="AI251" s="360"/>
      <c r="AJ251" s="360"/>
      <c r="AK251" s="360"/>
      <c r="AL251" s="360"/>
      <c r="AM251" s="360"/>
      <c r="AN251" s="360"/>
      <c r="AO251" s="360"/>
    </row>
    <row r="252" spans="1:41" s="441" customFormat="1" x14ac:dyDescent="0.2">
      <c r="A252" s="439"/>
      <c r="B252" s="360"/>
      <c r="C252" s="360"/>
      <c r="D252" s="360"/>
      <c r="E252" s="360"/>
      <c r="F252" s="360"/>
      <c r="G252" s="360"/>
      <c r="H252" s="360"/>
      <c r="I252" s="440"/>
      <c r="J252" s="180"/>
      <c r="K252" s="447"/>
      <c r="L252" s="2082"/>
      <c r="N252" s="440"/>
      <c r="O252" s="443"/>
      <c r="P252" s="444"/>
      <c r="Q252" s="442"/>
      <c r="R252" s="442"/>
      <c r="S252" s="442"/>
      <c r="T252" s="453"/>
      <c r="U252" s="446"/>
      <c r="V252" s="442"/>
      <c r="W252" s="360"/>
      <c r="X252" s="360"/>
      <c r="Y252" s="360"/>
      <c r="Z252" s="360"/>
      <c r="AA252" s="360"/>
      <c r="AB252" s="360"/>
      <c r="AC252" s="360"/>
      <c r="AD252" s="360"/>
      <c r="AE252" s="360"/>
      <c r="AF252" s="360"/>
      <c r="AG252" s="360"/>
      <c r="AH252" s="360"/>
      <c r="AI252" s="360"/>
      <c r="AJ252" s="360"/>
      <c r="AK252" s="360"/>
      <c r="AL252" s="360"/>
      <c r="AM252" s="360"/>
      <c r="AN252" s="360"/>
      <c r="AO252" s="360"/>
    </row>
    <row r="253" spans="1:41" s="441" customFormat="1" x14ac:dyDescent="0.2">
      <c r="A253" s="439"/>
      <c r="B253" s="360"/>
      <c r="C253" s="360"/>
      <c r="D253" s="360"/>
      <c r="E253" s="360"/>
      <c r="F253" s="360"/>
      <c r="G253" s="360"/>
      <c r="H253" s="360"/>
      <c r="I253" s="440"/>
      <c r="J253" s="180"/>
      <c r="K253" s="447"/>
      <c r="L253" s="2082"/>
      <c r="N253" s="440"/>
      <c r="O253" s="443"/>
      <c r="P253" s="444"/>
      <c r="Q253" s="442"/>
      <c r="R253" s="442"/>
      <c r="S253" s="442"/>
      <c r="T253" s="453"/>
      <c r="U253" s="446"/>
      <c r="V253" s="442"/>
      <c r="W253" s="360"/>
      <c r="X253" s="360"/>
      <c r="Y253" s="360"/>
      <c r="Z253" s="360"/>
      <c r="AA253" s="360"/>
      <c r="AB253" s="360"/>
      <c r="AC253" s="360"/>
      <c r="AD253" s="360"/>
      <c r="AE253" s="360"/>
      <c r="AF253" s="360"/>
      <c r="AG253" s="360"/>
      <c r="AH253" s="360"/>
      <c r="AI253" s="360"/>
      <c r="AJ253" s="360"/>
      <c r="AK253" s="360"/>
      <c r="AL253" s="360"/>
      <c r="AM253" s="360"/>
      <c r="AN253" s="360"/>
      <c r="AO253" s="360"/>
    </row>
    <row r="254" spans="1:41" s="441" customFormat="1" x14ac:dyDescent="0.2">
      <c r="A254" s="439"/>
      <c r="B254" s="360"/>
      <c r="C254" s="360"/>
      <c r="D254" s="360"/>
      <c r="E254" s="360"/>
      <c r="F254" s="360"/>
      <c r="G254" s="360"/>
      <c r="H254" s="360"/>
      <c r="I254" s="440"/>
      <c r="J254" s="180"/>
      <c r="K254" s="447"/>
      <c r="L254" s="2082"/>
      <c r="N254" s="440"/>
      <c r="O254" s="443"/>
      <c r="P254" s="444"/>
      <c r="Q254" s="442"/>
      <c r="R254" s="442"/>
      <c r="S254" s="442"/>
      <c r="T254" s="453"/>
      <c r="U254" s="446"/>
      <c r="V254" s="442"/>
      <c r="W254" s="360"/>
      <c r="X254" s="360"/>
      <c r="Y254" s="360"/>
      <c r="Z254" s="360"/>
      <c r="AA254" s="360"/>
      <c r="AB254" s="360"/>
      <c r="AC254" s="360"/>
      <c r="AD254" s="360"/>
      <c r="AE254" s="360"/>
      <c r="AF254" s="360"/>
      <c r="AG254" s="360"/>
      <c r="AH254" s="360"/>
      <c r="AI254" s="360"/>
      <c r="AJ254" s="360"/>
      <c r="AK254" s="360"/>
      <c r="AL254" s="360"/>
      <c r="AM254" s="360"/>
      <c r="AN254" s="360"/>
      <c r="AO254" s="360"/>
    </row>
  </sheetData>
  <sheetProtection password="A60F" sheet="1" objects="1" scenarios="1"/>
  <mergeCells count="444">
    <mergeCell ref="AL70:AL72"/>
    <mergeCell ref="AM70:AM72"/>
    <mergeCell ref="AN70:AN72"/>
    <mergeCell ref="AO70:AO72"/>
    <mergeCell ref="S71:S72"/>
    <mergeCell ref="AF70:AF72"/>
    <mergeCell ref="AG70:AG72"/>
    <mergeCell ref="AH70:AH72"/>
    <mergeCell ref="AI70:AI72"/>
    <mergeCell ref="AJ70:AJ72"/>
    <mergeCell ref="AK70:AK72"/>
    <mergeCell ref="Z70:Z72"/>
    <mergeCell ref="AA70:AA72"/>
    <mergeCell ref="AB70:AB72"/>
    <mergeCell ref="AC70:AC72"/>
    <mergeCell ref="AD70:AD72"/>
    <mergeCell ref="AE70:AE72"/>
    <mergeCell ref="P70:P72"/>
    <mergeCell ref="Q70:Q72"/>
    <mergeCell ref="R70:R72"/>
    <mergeCell ref="W70:W72"/>
    <mergeCell ref="X70:X72"/>
    <mergeCell ref="Y70:Y72"/>
    <mergeCell ref="J70:J72"/>
    <mergeCell ref="K70:K72"/>
    <mergeCell ref="L70:L72"/>
    <mergeCell ref="M70:M72"/>
    <mergeCell ref="N70:N72"/>
    <mergeCell ref="O70:O72"/>
    <mergeCell ref="AL68:AL69"/>
    <mergeCell ref="AM68:AM69"/>
    <mergeCell ref="AN68:AN69"/>
    <mergeCell ref="AO68:AO69"/>
    <mergeCell ref="D70:D72"/>
    <mergeCell ref="E70:E72"/>
    <mergeCell ref="F70:F72"/>
    <mergeCell ref="G70:G72"/>
    <mergeCell ref="H70:H72"/>
    <mergeCell ref="I70:I72"/>
    <mergeCell ref="AF68:AF69"/>
    <mergeCell ref="AG68:AG69"/>
    <mergeCell ref="AH68:AH69"/>
    <mergeCell ref="AI68:AI69"/>
    <mergeCell ref="AJ68:AJ69"/>
    <mergeCell ref="AK68:AK69"/>
    <mergeCell ref="Z68:Z69"/>
    <mergeCell ref="AA68:AA69"/>
    <mergeCell ref="AB68:AB69"/>
    <mergeCell ref="AC68:AC69"/>
    <mergeCell ref="AD68:AD69"/>
    <mergeCell ref="AE68:AE69"/>
    <mergeCell ref="Q68:Q69"/>
    <mergeCell ref="R68:R69"/>
    <mergeCell ref="S68:S69"/>
    <mergeCell ref="W68:W69"/>
    <mergeCell ref="X68:X69"/>
    <mergeCell ref="Y68:Y69"/>
    <mergeCell ref="K68:K69"/>
    <mergeCell ref="L68:L69"/>
    <mergeCell ref="M68:M69"/>
    <mergeCell ref="N68:N69"/>
    <mergeCell ref="O68:O69"/>
    <mergeCell ref="P68:P69"/>
    <mergeCell ref="AM63:AM65"/>
    <mergeCell ref="AN63:AN65"/>
    <mergeCell ref="AO63:AO65"/>
    <mergeCell ref="D68:D69"/>
    <mergeCell ref="E68:E69"/>
    <mergeCell ref="F68:F69"/>
    <mergeCell ref="G68:G69"/>
    <mergeCell ref="H68:H69"/>
    <mergeCell ref="I68:I69"/>
    <mergeCell ref="J68:J69"/>
    <mergeCell ref="AG63:AG65"/>
    <mergeCell ref="AH63:AH65"/>
    <mergeCell ref="AI63:AI65"/>
    <mergeCell ref="AJ63:AJ65"/>
    <mergeCell ref="AK63:AK65"/>
    <mergeCell ref="AL63:AL65"/>
    <mergeCell ref="AA63:AA65"/>
    <mergeCell ref="AB63:AB65"/>
    <mergeCell ref="AC63:AC65"/>
    <mergeCell ref="AD63:AD65"/>
    <mergeCell ref="AE63:AE65"/>
    <mergeCell ref="AF63:AF65"/>
    <mergeCell ref="R63:R65"/>
    <mergeCell ref="S63:S64"/>
    <mergeCell ref="W63:W65"/>
    <mergeCell ref="X63:X65"/>
    <mergeCell ref="Y63:Y65"/>
    <mergeCell ref="Z63:Z65"/>
    <mergeCell ref="AO61:AO62"/>
    <mergeCell ref="G63:G64"/>
    <mergeCell ref="H63:H64"/>
    <mergeCell ref="I63:I64"/>
    <mergeCell ref="L63:L65"/>
    <mergeCell ref="M63:M65"/>
    <mergeCell ref="N63:N65"/>
    <mergeCell ref="O63:O65"/>
    <mergeCell ref="P63:P65"/>
    <mergeCell ref="Q63:Q65"/>
    <mergeCell ref="AI61:AI62"/>
    <mergeCell ref="AJ61:AJ62"/>
    <mergeCell ref="AK61:AK62"/>
    <mergeCell ref="AL61:AL62"/>
    <mergeCell ref="AM61:AM62"/>
    <mergeCell ref="AN61:AN62"/>
    <mergeCell ref="AC61:AC62"/>
    <mergeCell ref="AD61:AD62"/>
    <mergeCell ref="AE61:AE62"/>
    <mergeCell ref="AF61:AF62"/>
    <mergeCell ref="AG61:AG62"/>
    <mergeCell ref="AH61:AH62"/>
    <mergeCell ref="W61:W62"/>
    <mergeCell ref="X61:X62"/>
    <mergeCell ref="Y61:Y62"/>
    <mergeCell ref="Z61:Z62"/>
    <mergeCell ref="AA61:AA62"/>
    <mergeCell ref="AB61:AB62"/>
    <mergeCell ref="Q61:Q62"/>
    <mergeCell ref="R61:R62"/>
    <mergeCell ref="S61:S62"/>
    <mergeCell ref="T61:T62"/>
    <mergeCell ref="U61:U62"/>
    <mergeCell ref="V61:V62"/>
    <mergeCell ref="AO58:AO60"/>
    <mergeCell ref="S59:S60"/>
    <mergeCell ref="G61:G62"/>
    <mergeCell ref="H61:H62"/>
    <mergeCell ref="I61:I62"/>
    <mergeCell ref="L61:L62"/>
    <mergeCell ref="M61:M62"/>
    <mergeCell ref="N61:N62"/>
    <mergeCell ref="O61:O62"/>
    <mergeCell ref="P61:P62"/>
    <mergeCell ref="AI58:AI60"/>
    <mergeCell ref="AJ58:AJ60"/>
    <mergeCell ref="AK58:AK60"/>
    <mergeCell ref="AL58:AL60"/>
    <mergeCell ref="AM58:AM60"/>
    <mergeCell ref="AN58:AN60"/>
    <mergeCell ref="AC58:AC60"/>
    <mergeCell ref="AD58:AD60"/>
    <mergeCell ref="AE58:AE60"/>
    <mergeCell ref="AF58:AF60"/>
    <mergeCell ref="AG58:AG60"/>
    <mergeCell ref="AH58:AH60"/>
    <mergeCell ref="W58:W60"/>
    <mergeCell ref="X58:X60"/>
    <mergeCell ref="Y58:Y60"/>
    <mergeCell ref="Z58:Z60"/>
    <mergeCell ref="AA58:AA60"/>
    <mergeCell ref="AB58:AB60"/>
    <mergeCell ref="M58:M60"/>
    <mergeCell ref="N58:N60"/>
    <mergeCell ref="O58:O60"/>
    <mergeCell ref="P58:P60"/>
    <mergeCell ref="Q58:Q60"/>
    <mergeCell ref="R58:R60"/>
    <mergeCell ref="AL56:AL57"/>
    <mergeCell ref="AM56:AM57"/>
    <mergeCell ref="AN56:AN57"/>
    <mergeCell ref="AO56:AO57"/>
    <mergeCell ref="G58:G60"/>
    <mergeCell ref="H58:H60"/>
    <mergeCell ref="I58:I60"/>
    <mergeCell ref="J58:J60"/>
    <mergeCell ref="K58:K60"/>
    <mergeCell ref="L58:L60"/>
    <mergeCell ref="AF56:AF57"/>
    <mergeCell ref="AG56:AG57"/>
    <mergeCell ref="AH56:AH57"/>
    <mergeCell ref="AI56:AI57"/>
    <mergeCell ref="AJ56:AJ57"/>
    <mergeCell ref="AK56:AK57"/>
    <mergeCell ref="Z56:Z57"/>
    <mergeCell ref="AA56:AA57"/>
    <mergeCell ref="AB56:AB57"/>
    <mergeCell ref="AC56:AC57"/>
    <mergeCell ref="AD56:AD57"/>
    <mergeCell ref="AE56:AE57"/>
    <mergeCell ref="P56:P57"/>
    <mergeCell ref="Q56:Q57"/>
    <mergeCell ref="R56:R57"/>
    <mergeCell ref="W56:W57"/>
    <mergeCell ref="X56:X57"/>
    <mergeCell ref="Y56:Y57"/>
    <mergeCell ref="AO54:AO55"/>
    <mergeCell ref="G56:G57"/>
    <mergeCell ref="H56:H57"/>
    <mergeCell ref="I56:I57"/>
    <mergeCell ref="J56:J57"/>
    <mergeCell ref="K56:K57"/>
    <mergeCell ref="L56:L57"/>
    <mergeCell ref="M56:M57"/>
    <mergeCell ref="N56:N57"/>
    <mergeCell ref="O56:O57"/>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M54:M55"/>
    <mergeCell ref="N54:N55"/>
    <mergeCell ref="O54:O55"/>
    <mergeCell ref="P54:P55"/>
    <mergeCell ref="Q54:Q55"/>
    <mergeCell ref="R54:R55"/>
    <mergeCell ref="G54:G55"/>
    <mergeCell ref="H54:H55"/>
    <mergeCell ref="I54:I55"/>
    <mergeCell ref="J54:J55"/>
    <mergeCell ref="K54:K55"/>
    <mergeCell ref="L54:L55"/>
    <mergeCell ref="V45:V46"/>
    <mergeCell ref="S47:S48"/>
    <mergeCell ref="G49:G53"/>
    <mergeCell ref="H49:H53"/>
    <mergeCell ref="I49:I53"/>
    <mergeCell ref="J49:J53"/>
    <mergeCell ref="K49:K53"/>
    <mergeCell ref="O49:O53"/>
    <mergeCell ref="S49:S53"/>
    <mergeCell ref="AO39:AO53"/>
    <mergeCell ref="G44:G48"/>
    <mergeCell ref="H44:H48"/>
    <mergeCell ref="I44:I48"/>
    <mergeCell ref="J44:J48"/>
    <mergeCell ref="K44:K48"/>
    <mergeCell ref="O44:O48"/>
    <mergeCell ref="S45:S46"/>
    <mergeCell ref="T45:T46"/>
    <mergeCell ref="U45:U46"/>
    <mergeCell ref="AI39:AI53"/>
    <mergeCell ref="AJ39:AJ53"/>
    <mergeCell ref="AK39:AK53"/>
    <mergeCell ref="AL39:AL53"/>
    <mergeCell ref="AM39:AM53"/>
    <mergeCell ref="AN39:AN53"/>
    <mergeCell ref="AC39:AC53"/>
    <mergeCell ref="AD39:AD53"/>
    <mergeCell ref="AE39:AE53"/>
    <mergeCell ref="AF39:AF53"/>
    <mergeCell ref="AG39:AG53"/>
    <mergeCell ref="AH39:AH53"/>
    <mergeCell ref="W39:W53"/>
    <mergeCell ref="X39:X53"/>
    <mergeCell ref="Y39:Y53"/>
    <mergeCell ref="Z39:Z53"/>
    <mergeCell ref="AA39:AA53"/>
    <mergeCell ref="AB39:AB53"/>
    <mergeCell ref="M39:M53"/>
    <mergeCell ref="N39:N53"/>
    <mergeCell ref="O39:O40"/>
    <mergeCell ref="P39:P53"/>
    <mergeCell ref="Q39:Q53"/>
    <mergeCell ref="R39:R53"/>
    <mergeCell ref="AL34:AL38"/>
    <mergeCell ref="AM34:AM38"/>
    <mergeCell ref="AN34:AN38"/>
    <mergeCell ref="AO34:AO38"/>
    <mergeCell ref="G39:G40"/>
    <mergeCell ref="H39:H40"/>
    <mergeCell ref="I39:I40"/>
    <mergeCell ref="J39:J40"/>
    <mergeCell ref="K39:K40"/>
    <mergeCell ref="L39:L53"/>
    <mergeCell ref="AF34:AF38"/>
    <mergeCell ref="AG34:AG38"/>
    <mergeCell ref="AH34:AH38"/>
    <mergeCell ref="AI34:AI38"/>
    <mergeCell ref="AJ34:AJ38"/>
    <mergeCell ref="AK34:AK38"/>
    <mergeCell ref="Z34:Z38"/>
    <mergeCell ref="AA34:AA38"/>
    <mergeCell ref="AB34:AB38"/>
    <mergeCell ref="AC34:AC38"/>
    <mergeCell ref="AD34:AD38"/>
    <mergeCell ref="AE34:AE38"/>
    <mergeCell ref="R34:R38"/>
    <mergeCell ref="U34:U38"/>
    <mergeCell ref="V34:V38"/>
    <mergeCell ref="W34:W38"/>
    <mergeCell ref="X34:X38"/>
    <mergeCell ref="Y34:Y38"/>
    <mergeCell ref="L34:L38"/>
    <mergeCell ref="M34:M38"/>
    <mergeCell ref="N34:N38"/>
    <mergeCell ref="O34:O38"/>
    <mergeCell ref="P34:P38"/>
    <mergeCell ref="Q34:Q38"/>
    <mergeCell ref="AK30:AK33"/>
    <mergeCell ref="AL30:AL33"/>
    <mergeCell ref="AM30:AM33"/>
    <mergeCell ref="AN30:AN33"/>
    <mergeCell ref="AO30:AO33"/>
    <mergeCell ref="G34:G38"/>
    <mergeCell ref="H34:H38"/>
    <mergeCell ref="I34:I38"/>
    <mergeCell ref="J34:J38"/>
    <mergeCell ref="K34:K38"/>
    <mergeCell ref="AE30:AE33"/>
    <mergeCell ref="AF30:AF33"/>
    <mergeCell ref="AG30:AG33"/>
    <mergeCell ref="AH30:AH33"/>
    <mergeCell ref="AI30:AI33"/>
    <mergeCell ref="AJ30:AJ33"/>
    <mergeCell ref="Y30:Y33"/>
    <mergeCell ref="Z30:Z33"/>
    <mergeCell ref="AA30:AA33"/>
    <mergeCell ref="AB30:AB33"/>
    <mergeCell ref="AC30:AC33"/>
    <mergeCell ref="AD30:AD33"/>
    <mergeCell ref="P30:P33"/>
    <mergeCell ref="Q30:Q33"/>
    <mergeCell ref="R30:R33"/>
    <mergeCell ref="S30:S31"/>
    <mergeCell ref="W30:W33"/>
    <mergeCell ref="X30:X33"/>
    <mergeCell ref="AO28:AO29"/>
    <mergeCell ref="G30:G33"/>
    <mergeCell ref="H30:H33"/>
    <mergeCell ref="I30:I33"/>
    <mergeCell ref="J30:J33"/>
    <mergeCell ref="K30:K33"/>
    <mergeCell ref="L30:L33"/>
    <mergeCell ref="M30:M33"/>
    <mergeCell ref="N30:N33"/>
    <mergeCell ref="O30:O33"/>
    <mergeCell ref="AI28:AI29"/>
    <mergeCell ref="AJ28:AJ29"/>
    <mergeCell ref="AK28:AK29"/>
    <mergeCell ref="AL28:AL29"/>
    <mergeCell ref="AM28:AM29"/>
    <mergeCell ref="AN28:AN29"/>
    <mergeCell ref="AC28:AC29"/>
    <mergeCell ref="AD28:AD29"/>
    <mergeCell ref="AE28:AE29"/>
    <mergeCell ref="AF28:AF29"/>
    <mergeCell ref="AG28:AG29"/>
    <mergeCell ref="AH28:AH29"/>
    <mergeCell ref="W28:W29"/>
    <mergeCell ref="X28:X29"/>
    <mergeCell ref="Y28:Y29"/>
    <mergeCell ref="Z28:Z29"/>
    <mergeCell ref="AA28:AA29"/>
    <mergeCell ref="AB28:AB29"/>
    <mergeCell ref="U20:U21"/>
    <mergeCell ref="V20:V21"/>
    <mergeCell ref="AD12:AD27"/>
    <mergeCell ref="AE12:AE27"/>
    <mergeCell ref="AF12:AF27"/>
    <mergeCell ref="AG12:AG27"/>
    <mergeCell ref="L28:L29"/>
    <mergeCell ref="M28:M29"/>
    <mergeCell ref="N28:N29"/>
    <mergeCell ref="P28:P29"/>
    <mergeCell ref="Q28:Q29"/>
    <mergeCell ref="R28:R29"/>
    <mergeCell ref="AN12:AN27"/>
    <mergeCell ref="AO12:AO27"/>
    <mergeCell ref="G16:G27"/>
    <mergeCell ref="H16:H27"/>
    <mergeCell ref="I16:I27"/>
    <mergeCell ref="J16:J27"/>
    <mergeCell ref="K16:K27"/>
    <mergeCell ref="O16:O27"/>
    <mergeCell ref="S16:S18"/>
    <mergeCell ref="T16:T17"/>
    <mergeCell ref="AH12:AH27"/>
    <mergeCell ref="AI12:AI27"/>
    <mergeCell ref="AJ12:AJ27"/>
    <mergeCell ref="AK12:AK27"/>
    <mergeCell ref="AL12:AL27"/>
    <mergeCell ref="AM12:AM27"/>
    <mergeCell ref="AB12:AB27"/>
    <mergeCell ref="AC12:AC27"/>
    <mergeCell ref="Q12:Q27"/>
    <mergeCell ref="R12:R27"/>
    <mergeCell ref="AL7:AL8"/>
    <mergeCell ref="AM7:AM8"/>
    <mergeCell ref="AN7:AN8"/>
    <mergeCell ref="N7:N9"/>
    <mergeCell ref="S12:S15"/>
    <mergeCell ref="W12:W27"/>
    <mergeCell ref="X12:X27"/>
    <mergeCell ref="Y12:Y27"/>
    <mergeCell ref="Z12:Z27"/>
    <mergeCell ref="AA12:AA27"/>
    <mergeCell ref="U16:U17"/>
    <mergeCell ref="V16:V17"/>
    <mergeCell ref="S20:S27"/>
    <mergeCell ref="T20:T21"/>
    <mergeCell ref="G12:G15"/>
    <mergeCell ref="H12:H15"/>
    <mergeCell ref="I12:I15"/>
    <mergeCell ref="J12:J15"/>
    <mergeCell ref="K12:K15"/>
    <mergeCell ref="L12:L27"/>
    <mergeCell ref="U7:U9"/>
    <mergeCell ref="V7:V9"/>
    <mergeCell ref="W7:X7"/>
    <mergeCell ref="O7:O9"/>
    <mergeCell ref="P7:P9"/>
    <mergeCell ref="Q7:Q9"/>
    <mergeCell ref="R7:R9"/>
    <mergeCell ref="S7:S9"/>
    <mergeCell ref="T7:T9"/>
    <mergeCell ref="I7:I9"/>
    <mergeCell ref="J7:J9"/>
    <mergeCell ref="K7:K9"/>
    <mergeCell ref="L7:L9"/>
    <mergeCell ref="M7:M9"/>
    <mergeCell ref="M12:M27"/>
    <mergeCell ref="N12:N27"/>
    <mergeCell ref="O12:O15"/>
    <mergeCell ref="P12:P27"/>
    <mergeCell ref="A1:AM4"/>
    <mergeCell ref="A5:K6"/>
    <mergeCell ref="L5:AO5"/>
    <mergeCell ref="W6:AL6"/>
    <mergeCell ref="A7:A9"/>
    <mergeCell ref="B7:C9"/>
    <mergeCell ref="D7:D9"/>
    <mergeCell ref="E7:F9"/>
    <mergeCell ref="G7:G9"/>
    <mergeCell ref="H7:H9"/>
    <mergeCell ref="AO7:AO9"/>
    <mergeCell ref="Y7:AB7"/>
    <mergeCell ref="AC7:AH7"/>
    <mergeCell ref="AI7:AK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F-PLA-06 PA ADMINISTRATIVA</vt:lpstr>
      <vt:lpstr>F-PLA-06 PA PLANEACION</vt:lpstr>
      <vt:lpstr>F-PLA-06 PA HACIENDA</vt:lpstr>
      <vt:lpstr>F-PLA-06 PA AGUAS INFRA</vt:lpstr>
      <vt:lpstr>F-PLA-06 PA INTERIOR</vt:lpstr>
      <vt:lpstr>F-PLA-06 PA CULTURA</vt:lpstr>
      <vt:lpstr>F-PLA-06 PA TURISMO</vt:lpstr>
      <vt:lpstr>F-PLA-06 PA AGRICULTURA</vt:lpstr>
      <vt:lpstr>F-PLA-06 PA EDUCACION</vt:lpstr>
      <vt:lpstr>F-PLA-06 PA PRIVADA</vt:lpstr>
      <vt:lpstr>F-PLA 06 PA FAMILIA</vt:lpstr>
      <vt:lpstr>F-PLA-06 PA SALUD</vt:lpstr>
      <vt:lpstr>F-PLA-06 PA TIC</vt:lpstr>
      <vt:lpstr> F-PLA 06 PA INDEPORTES</vt:lpstr>
      <vt:lpstr>F-PLA-06 PA PROMOTORA</vt:lpstr>
      <vt:lpstr>F-PLA-06 PA IDTQ</vt:lpstr>
      <vt:lpstr>'F-PLA-06 PA PLANEACION'!Área_de_impresión</vt:lpstr>
      <vt:lpstr>'F-PLA-06 PA 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2021-01-21T16:03:21Z</dcterms:created>
  <dcterms:modified xsi:type="dcterms:W3CDTF">2021-02-17T18:03:01Z</dcterms:modified>
</cp:coreProperties>
</file>